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conradc\Desktop\Desktop 2\TT Stuff\St Paul\Board Financial Audit Info\"/>
    </mc:Choice>
  </mc:AlternateContent>
  <xr:revisionPtr revIDLastSave="0" documentId="8_{E7703933-94F8-487C-9B27-E54F52CBEE83}" xr6:coauthVersionLast="47" xr6:coauthVersionMax="47" xr10:uidLastSave="{00000000-0000-0000-0000-000000000000}"/>
  <bookViews>
    <workbookView xWindow="-108" yWindow="-108" windowWidth="23256" windowHeight="12576" tabRatio="910" xr2:uid="{00000000-000D-0000-FFFF-FFFF00000000}"/>
  </bookViews>
  <sheets>
    <sheet name="SPR Budget 2022-2023" sheetId="24" r:id="rId1"/>
    <sheet name="SA FY22 to date" sheetId="30" state="hidden" r:id="rId2"/>
    <sheet name="FY22 Budget" sheetId="3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24" l="1"/>
  <c r="P116" i="24" l="1"/>
  <c r="P103" i="24"/>
  <c r="P200" i="24" l="1"/>
  <c r="P193" i="24"/>
  <c r="P192" i="24"/>
  <c r="P191" i="24"/>
  <c r="P190" i="24"/>
  <c r="P189" i="24"/>
  <c r="P188" i="24"/>
  <c r="P187" i="24"/>
  <c r="P181" i="24"/>
  <c r="P180" i="24"/>
  <c r="P178" i="24"/>
  <c r="P174" i="24"/>
  <c r="P170" i="24"/>
  <c r="P164" i="24"/>
  <c r="P163" i="24"/>
  <c r="P161" i="24"/>
  <c r="P159" i="24"/>
  <c r="P155" i="24"/>
  <c r="P146" i="24"/>
  <c r="P141" i="24"/>
  <c r="P137" i="24"/>
  <c r="P133" i="24"/>
  <c r="P132" i="24"/>
  <c r="P117" i="24"/>
  <c r="P115" i="24"/>
  <c r="P114" i="24"/>
  <c r="P109" i="24"/>
  <c r="P108" i="24"/>
  <c r="P107" i="24"/>
  <c r="P106" i="24"/>
  <c r="P105" i="24"/>
  <c r="P104" i="24"/>
  <c r="P102" i="24"/>
  <c r="P101" i="24"/>
  <c r="P94" i="24"/>
  <c r="P93" i="24"/>
  <c r="P60" i="24"/>
  <c r="P57" i="24"/>
  <c r="P55" i="24"/>
  <c r="P51" i="24"/>
  <c r="P50" i="24"/>
  <c r="P49" i="24"/>
  <c r="P48" i="24"/>
  <c r="P47" i="24"/>
  <c r="P46" i="24"/>
  <c r="P42" i="24"/>
  <c r="P41" i="24"/>
  <c r="P39" i="24"/>
  <c r="P30" i="24"/>
  <c r="P25" i="24"/>
  <c r="P13" i="24"/>
  <c r="P15" i="24"/>
  <c r="P16" i="24"/>
  <c r="P17" i="24"/>
  <c r="P18" i="24"/>
  <c r="P19" i="24"/>
  <c r="P12" i="24"/>
  <c r="A194" i="31"/>
  <c r="A193" i="31"/>
  <c r="H192" i="31"/>
  <c r="H193" i="31" s="1"/>
  <c r="A192" i="31"/>
  <c r="N191" i="31"/>
  <c r="N192" i="31" s="1"/>
  <c r="N193" i="31" s="1"/>
  <c r="M191" i="31"/>
  <c r="M192" i="31" s="1"/>
  <c r="M193" i="31" s="1"/>
  <c r="L191" i="31"/>
  <c r="L192" i="31" s="1"/>
  <c r="L193" i="31" s="1"/>
  <c r="K191" i="31"/>
  <c r="K192" i="31" s="1"/>
  <c r="K193" i="31" s="1"/>
  <c r="J191" i="31"/>
  <c r="J192" i="31" s="1"/>
  <c r="J193" i="31" s="1"/>
  <c r="I191" i="31"/>
  <c r="I192" i="31" s="1"/>
  <c r="I193" i="31" s="1"/>
  <c r="H191" i="31"/>
  <c r="G191" i="31"/>
  <c r="G192" i="31" s="1"/>
  <c r="G193" i="31" s="1"/>
  <c r="F191" i="31"/>
  <c r="F192" i="31" s="1"/>
  <c r="F193" i="31" s="1"/>
  <c r="E191" i="31"/>
  <c r="E192" i="31" s="1"/>
  <c r="E193" i="31" s="1"/>
  <c r="D191" i="31"/>
  <c r="D192" i="31" s="1"/>
  <c r="D193" i="31" s="1"/>
  <c r="C191" i="31"/>
  <c r="C192" i="31" s="1"/>
  <c r="A191" i="31"/>
  <c r="A190" i="31"/>
  <c r="A189" i="31"/>
  <c r="A188" i="31"/>
  <c r="A187" i="31"/>
  <c r="A186" i="31"/>
  <c r="N185" i="31"/>
  <c r="M185" i="31"/>
  <c r="L185" i="31"/>
  <c r="K185" i="31"/>
  <c r="J185" i="31"/>
  <c r="I185" i="31"/>
  <c r="H185" i="31"/>
  <c r="G185" i="31"/>
  <c r="F185" i="31"/>
  <c r="E185" i="31"/>
  <c r="D185" i="31"/>
  <c r="C185" i="31"/>
  <c r="A185" i="31"/>
  <c r="N184" i="31"/>
  <c r="M184" i="31"/>
  <c r="L184" i="31"/>
  <c r="K184" i="31"/>
  <c r="J184" i="31"/>
  <c r="I184" i="31"/>
  <c r="H184" i="31"/>
  <c r="G184" i="31"/>
  <c r="F184" i="31"/>
  <c r="E184" i="31"/>
  <c r="D184" i="31"/>
  <c r="C184" i="31"/>
  <c r="A184" i="31"/>
  <c r="N183" i="31"/>
  <c r="M183" i="31"/>
  <c r="L183" i="31"/>
  <c r="K183" i="31"/>
  <c r="J183" i="31"/>
  <c r="I183" i="31"/>
  <c r="H183" i="31"/>
  <c r="G183" i="31"/>
  <c r="F183" i="31"/>
  <c r="E183" i="31"/>
  <c r="D183" i="31"/>
  <c r="C183" i="31"/>
  <c r="A183" i="31"/>
  <c r="N182" i="31"/>
  <c r="M182" i="31"/>
  <c r="L182" i="31"/>
  <c r="K182" i="31"/>
  <c r="K186" i="31" s="1"/>
  <c r="J182" i="31"/>
  <c r="I182" i="31"/>
  <c r="H182" i="31"/>
  <c r="G182" i="31"/>
  <c r="G186" i="31" s="1"/>
  <c r="F182" i="31"/>
  <c r="E182" i="31"/>
  <c r="D182" i="31"/>
  <c r="C182" i="31"/>
  <c r="C186" i="31" s="1"/>
  <c r="A182" i="31"/>
  <c r="N181" i="31"/>
  <c r="M181" i="31"/>
  <c r="L181" i="31"/>
  <c r="L186" i="31" s="1"/>
  <c r="K181" i="31"/>
  <c r="J181" i="31"/>
  <c r="I181" i="31"/>
  <c r="H181" i="31"/>
  <c r="H186" i="31" s="1"/>
  <c r="G181" i="31"/>
  <c r="F181" i="31"/>
  <c r="E181" i="31"/>
  <c r="D181" i="31"/>
  <c r="D186" i="31" s="1"/>
  <c r="C181" i="31"/>
  <c r="A181" i="31"/>
  <c r="O180" i="31"/>
  <c r="A180" i="31"/>
  <c r="I179" i="31"/>
  <c r="H179" i="31"/>
  <c r="H187" i="31" s="1"/>
  <c r="A179" i="31"/>
  <c r="N178" i="31"/>
  <c r="N179" i="31" s="1"/>
  <c r="M178" i="31"/>
  <c r="M179" i="31" s="1"/>
  <c r="L178" i="31"/>
  <c r="L179" i="31" s="1"/>
  <c r="K178" i="31"/>
  <c r="K179" i="31" s="1"/>
  <c r="K187" i="31" s="1"/>
  <c r="J178" i="31"/>
  <c r="J179" i="31" s="1"/>
  <c r="I178" i="31"/>
  <c r="H178" i="31"/>
  <c r="G178" i="31"/>
  <c r="G179" i="31" s="1"/>
  <c r="G187" i="31" s="1"/>
  <c r="F178" i="31"/>
  <c r="F179" i="31" s="1"/>
  <c r="E178" i="31"/>
  <c r="E179" i="31" s="1"/>
  <c r="D178" i="31"/>
  <c r="D179" i="31" s="1"/>
  <c r="C178" i="31"/>
  <c r="C179" i="31" s="1"/>
  <c r="A178" i="31"/>
  <c r="O177" i="31"/>
  <c r="A177" i="31"/>
  <c r="O176" i="31"/>
  <c r="A176" i="31"/>
  <c r="A175" i="31"/>
  <c r="N174" i="31"/>
  <c r="M174" i="31"/>
  <c r="L174" i="31"/>
  <c r="K174" i="31"/>
  <c r="J174" i="31"/>
  <c r="I174" i="31"/>
  <c r="H174" i="31"/>
  <c r="G174" i="31"/>
  <c r="F174" i="31"/>
  <c r="E174" i="31"/>
  <c r="D174" i="31"/>
  <c r="C174" i="31"/>
  <c r="A174" i="31"/>
  <c r="N173" i="31"/>
  <c r="M173" i="31"/>
  <c r="L173" i="31"/>
  <c r="K173" i="31"/>
  <c r="J173" i="31"/>
  <c r="I173" i="31"/>
  <c r="H173" i="31"/>
  <c r="G173" i="31"/>
  <c r="F173" i="31"/>
  <c r="E173" i="31"/>
  <c r="D173" i="31"/>
  <c r="C173" i="31"/>
  <c r="A173" i="31"/>
  <c r="N172" i="31"/>
  <c r="M172" i="31"/>
  <c r="L172" i="31"/>
  <c r="K172" i="31"/>
  <c r="J172" i="31"/>
  <c r="I172" i="31"/>
  <c r="H172" i="31"/>
  <c r="G172" i="31"/>
  <c r="F172" i="31"/>
  <c r="E172" i="31"/>
  <c r="D172" i="31"/>
  <c r="C172" i="31"/>
  <c r="A172" i="31"/>
  <c r="N171" i="31"/>
  <c r="M171" i="31"/>
  <c r="L171" i="31"/>
  <c r="K171" i="31"/>
  <c r="J171" i="31"/>
  <c r="I171" i="31"/>
  <c r="H171" i="31"/>
  <c r="G171" i="31"/>
  <c r="F171" i="31"/>
  <c r="E171" i="31"/>
  <c r="D171" i="31"/>
  <c r="C171" i="31"/>
  <c r="A171" i="31"/>
  <c r="N170" i="31"/>
  <c r="M170" i="31"/>
  <c r="L170" i="31"/>
  <c r="K170" i="31"/>
  <c r="J170" i="31"/>
  <c r="I170" i="31"/>
  <c r="H170" i="31"/>
  <c r="G170" i="31"/>
  <c r="F170" i="31"/>
  <c r="E170" i="31"/>
  <c r="D170" i="31"/>
  <c r="C170" i="31"/>
  <c r="A170" i="31"/>
  <c r="N169" i="31"/>
  <c r="M169" i="31"/>
  <c r="L169" i="31"/>
  <c r="K169" i="31"/>
  <c r="J169" i="31"/>
  <c r="I169" i="31"/>
  <c r="H169" i="31"/>
  <c r="G169" i="31"/>
  <c r="F169" i="31"/>
  <c r="E169" i="31"/>
  <c r="D169" i="31"/>
  <c r="C169" i="31"/>
  <c r="A169" i="31"/>
  <c r="O168" i="31"/>
  <c r="A168" i="31"/>
  <c r="A167" i="31"/>
  <c r="N166" i="31"/>
  <c r="M166" i="31"/>
  <c r="L166" i="31"/>
  <c r="K166" i="31"/>
  <c r="J166" i="31"/>
  <c r="I166" i="31"/>
  <c r="H166" i="31"/>
  <c r="G166" i="31"/>
  <c r="F166" i="31"/>
  <c r="E166" i="31"/>
  <c r="D166" i="31"/>
  <c r="C166" i="31"/>
  <c r="O166" i="31" s="1"/>
  <c r="A166" i="31"/>
  <c r="N165" i="31"/>
  <c r="M165" i="31"/>
  <c r="L165" i="31"/>
  <c r="L167" i="31" s="1"/>
  <c r="K165" i="31"/>
  <c r="J165" i="31"/>
  <c r="I165" i="31"/>
  <c r="H165" i="31"/>
  <c r="H167" i="31" s="1"/>
  <c r="G165" i="31"/>
  <c r="F165" i="31"/>
  <c r="E165" i="31"/>
  <c r="D165" i="31"/>
  <c r="C165" i="31"/>
  <c r="A165" i="31"/>
  <c r="N164" i="31"/>
  <c r="M164" i="31"/>
  <c r="L164" i="31"/>
  <c r="K164" i="31"/>
  <c r="J164" i="31"/>
  <c r="I164" i="31"/>
  <c r="H164" i="31"/>
  <c r="G164" i="31"/>
  <c r="F164" i="31"/>
  <c r="E164" i="31"/>
  <c r="E167" i="31" s="1"/>
  <c r="D164" i="31"/>
  <c r="C164" i="31"/>
  <c r="A164" i="31"/>
  <c r="O163" i="31"/>
  <c r="A163" i="31"/>
  <c r="A162" i="31"/>
  <c r="N161" i="31"/>
  <c r="M161" i="31"/>
  <c r="L161" i="31"/>
  <c r="K161" i="31"/>
  <c r="J161" i="31"/>
  <c r="I161" i="31"/>
  <c r="H161" i="31"/>
  <c r="G161" i="31"/>
  <c r="F161" i="31"/>
  <c r="E161" i="31"/>
  <c r="D161" i="31"/>
  <c r="C161" i="31"/>
  <c r="A161" i="31"/>
  <c r="N160" i="31"/>
  <c r="M160" i="31"/>
  <c r="L160" i="31"/>
  <c r="K160" i="31"/>
  <c r="J160" i="31"/>
  <c r="I160" i="31"/>
  <c r="H160" i="31"/>
  <c r="G160" i="31"/>
  <c r="F160" i="31"/>
  <c r="E160" i="31"/>
  <c r="D160" i="31"/>
  <c r="C160" i="31"/>
  <c r="A160" i="31"/>
  <c r="N159" i="31"/>
  <c r="M159" i="31"/>
  <c r="L159" i="31"/>
  <c r="K159" i="31"/>
  <c r="J159" i="31"/>
  <c r="I159" i="31"/>
  <c r="H159" i="31"/>
  <c r="G159" i="31"/>
  <c r="F159" i="31"/>
  <c r="E159" i="31"/>
  <c r="D159" i="31"/>
  <c r="C159" i="31"/>
  <c r="A159" i="31"/>
  <c r="N158" i="31"/>
  <c r="M158" i="31"/>
  <c r="L158" i="31"/>
  <c r="K158" i="31"/>
  <c r="J158" i="31"/>
  <c r="I158" i="31"/>
  <c r="H158" i="31"/>
  <c r="G158" i="31"/>
  <c r="F158" i="31"/>
  <c r="E158" i="31"/>
  <c r="D158" i="31"/>
  <c r="C158" i="31"/>
  <c r="A158" i="31"/>
  <c r="N157" i="31"/>
  <c r="M157" i="31"/>
  <c r="L157" i="31"/>
  <c r="K157" i="31"/>
  <c r="J157" i="31"/>
  <c r="I157" i="31"/>
  <c r="H157" i="31"/>
  <c r="G157" i="31"/>
  <c r="F157" i="31"/>
  <c r="E157" i="31"/>
  <c r="D157" i="31"/>
  <c r="C157" i="31"/>
  <c r="A157" i="31"/>
  <c r="N156" i="31"/>
  <c r="M156" i="31"/>
  <c r="L156" i="31"/>
  <c r="K156" i="31"/>
  <c r="J156" i="31"/>
  <c r="I156" i="31"/>
  <c r="H156" i="31"/>
  <c r="G156" i="31"/>
  <c r="F156" i="31"/>
  <c r="E156" i="31"/>
  <c r="D156" i="31"/>
  <c r="C156" i="31"/>
  <c r="A156" i="31"/>
  <c r="N155" i="31"/>
  <c r="M155" i="31"/>
  <c r="L155" i="31"/>
  <c r="K155" i="31"/>
  <c r="J155" i="31"/>
  <c r="I155" i="31"/>
  <c r="H155" i="31"/>
  <c r="G155" i="31"/>
  <c r="F155" i="31"/>
  <c r="E155" i="31"/>
  <c r="D155" i="31"/>
  <c r="C155" i="31"/>
  <c r="O155" i="31" s="1"/>
  <c r="A155" i="31"/>
  <c r="N154" i="31"/>
  <c r="M154" i="31"/>
  <c r="L154" i="31"/>
  <c r="K154" i="31"/>
  <c r="J154" i="31"/>
  <c r="I154" i="31"/>
  <c r="H154" i="31"/>
  <c r="G154" i="31"/>
  <c r="F154" i="31"/>
  <c r="E154" i="31"/>
  <c r="D154" i="31"/>
  <c r="C154" i="31"/>
  <c r="A154" i="31"/>
  <c r="N153" i="31"/>
  <c r="M153" i="31"/>
  <c r="L153" i="31"/>
  <c r="K153" i="31"/>
  <c r="J153" i="31"/>
  <c r="I153" i="31"/>
  <c r="H153" i="31"/>
  <c r="G153" i="31"/>
  <c r="F153" i="31"/>
  <c r="E153" i="31"/>
  <c r="D153" i="31"/>
  <c r="C153" i="31"/>
  <c r="A153" i="31"/>
  <c r="O152" i="31"/>
  <c r="A152" i="31"/>
  <c r="A151" i="31"/>
  <c r="N150" i="31"/>
  <c r="M150" i="31"/>
  <c r="L150" i="31"/>
  <c r="K150" i="31"/>
  <c r="J150" i="31"/>
  <c r="I150" i="31"/>
  <c r="H150" i="31"/>
  <c r="G150" i="31"/>
  <c r="F150" i="31"/>
  <c r="E150" i="31"/>
  <c r="D150" i="31"/>
  <c r="C150" i="31"/>
  <c r="A150" i="31"/>
  <c r="N149" i="31"/>
  <c r="M149" i="31"/>
  <c r="L149" i="31"/>
  <c r="K149" i="31"/>
  <c r="J149" i="31"/>
  <c r="I149" i="31"/>
  <c r="H149" i="31"/>
  <c r="G149" i="31"/>
  <c r="F149" i="31"/>
  <c r="E149" i="31"/>
  <c r="D149" i="31"/>
  <c r="C149" i="31"/>
  <c r="A149" i="31"/>
  <c r="N148" i="31"/>
  <c r="M148" i="31"/>
  <c r="L148" i="31"/>
  <c r="K148" i="31"/>
  <c r="J148" i="31"/>
  <c r="I148" i="31"/>
  <c r="H148" i="31"/>
  <c r="G148" i="31"/>
  <c r="F148" i="31"/>
  <c r="E148" i="31"/>
  <c r="D148" i="31"/>
  <c r="C148" i="31"/>
  <c r="A148" i="31"/>
  <c r="N147" i="31"/>
  <c r="M147" i="31"/>
  <c r="L147" i="31"/>
  <c r="K147" i="31"/>
  <c r="J147" i="31"/>
  <c r="I147" i="31"/>
  <c r="H147" i="31"/>
  <c r="G147" i="31"/>
  <c r="F147" i="31"/>
  <c r="E147" i="31"/>
  <c r="D147" i="31"/>
  <c r="C147" i="31"/>
  <c r="A147" i="31"/>
  <c r="N146" i="31"/>
  <c r="M146" i="31"/>
  <c r="L146" i="31"/>
  <c r="K146" i="31"/>
  <c r="J146" i="31"/>
  <c r="I146" i="31"/>
  <c r="H146" i="31"/>
  <c r="G146" i="31"/>
  <c r="F146" i="31"/>
  <c r="E146" i="31"/>
  <c r="D146" i="31"/>
  <c r="C146" i="31"/>
  <c r="A146" i="31"/>
  <c r="N145" i="31"/>
  <c r="M145" i="31"/>
  <c r="L145" i="31"/>
  <c r="K145" i="31"/>
  <c r="J145" i="31"/>
  <c r="I145" i="31"/>
  <c r="H145" i="31"/>
  <c r="G145" i="31"/>
  <c r="F145" i="31"/>
  <c r="E145" i="31"/>
  <c r="D145" i="31"/>
  <c r="C145" i="31"/>
  <c r="A145" i="31"/>
  <c r="N144" i="31"/>
  <c r="M144" i="31"/>
  <c r="L144" i="31"/>
  <c r="K144" i="31"/>
  <c r="J144" i="31"/>
  <c r="I144" i="31"/>
  <c r="H144" i="31"/>
  <c r="G144" i="31"/>
  <c r="F144" i="31"/>
  <c r="E144" i="31"/>
  <c r="D144" i="31"/>
  <c r="C144" i="31"/>
  <c r="A144" i="31"/>
  <c r="N143" i="31"/>
  <c r="M143" i="31"/>
  <c r="L143" i="31"/>
  <c r="K143" i="31"/>
  <c r="J143" i="31"/>
  <c r="I143" i="31"/>
  <c r="H143" i="31"/>
  <c r="G143" i="31"/>
  <c r="F143" i="31"/>
  <c r="E143" i="31"/>
  <c r="D143" i="31"/>
  <c r="C143" i="31"/>
  <c r="A143" i="31"/>
  <c r="N142" i="31"/>
  <c r="M142" i="31"/>
  <c r="L142" i="31"/>
  <c r="K142" i="31"/>
  <c r="J142" i="31"/>
  <c r="I142" i="31"/>
  <c r="H142" i="31"/>
  <c r="G142" i="31"/>
  <c r="F142" i="31"/>
  <c r="E142" i="31"/>
  <c r="D142" i="31"/>
  <c r="C142" i="31"/>
  <c r="A142" i="31"/>
  <c r="N141" i="31"/>
  <c r="M141" i="31"/>
  <c r="L141" i="31"/>
  <c r="K141" i="31"/>
  <c r="J141" i="31"/>
  <c r="I141" i="31"/>
  <c r="H141" i="31"/>
  <c r="G141" i="31"/>
  <c r="F141" i="31"/>
  <c r="E141" i="31"/>
  <c r="D141" i="31"/>
  <c r="C141" i="31"/>
  <c r="A141" i="31"/>
  <c r="N140" i="31"/>
  <c r="M140" i="31"/>
  <c r="L140" i="31"/>
  <c r="K140" i="31"/>
  <c r="J140" i="31"/>
  <c r="I140" i="31"/>
  <c r="H140" i="31"/>
  <c r="G140" i="31"/>
  <c r="F140" i="31"/>
  <c r="E140" i="31"/>
  <c r="D140" i="31"/>
  <c r="C140" i="31"/>
  <c r="A140" i="31"/>
  <c r="N139" i="31"/>
  <c r="M139" i="31"/>
  <c r="L139" i="31"/>
  <c r="K139" i="31"/>
  <c r="J139" i="31"/>
  <c r="I139" i="31"/>
  <c r="H139" i="31"/>
  <c r="G139" i="31"/>
  <c r="F139" i="31"/>
  <c r="E139" i="31"/>
  <c r="D139" i="31"/>
  <c r="C139" i="31"/>
  <c r="A139" i="31"/>
  <c r="A138" i="31"/>
  <c r="N137" i="31"/>
  <c r="M137" i="31"/>
  <c r="L137" i="31"/>
  <c r="K137" i="31"/>
  <c r="J137" i="31"/>
  <c r="I137" i="31"/>
  <c r="H137" i="31"/>
  <c r="G137" i="31"/>
  <c r="F137" i="31"/>
  <c r="E137" i="31"/>
  <c r="D137" i="31"/>
  <c r="C137" i="31"/>
  <c r="A137" i="31"/>
  <c r="N136" i="31"/>
  <c r="M136" i="31"/>
  <c r="L136" i="31"/>
  <c r="K136" i="31"/>
  <c r="J136" i="31"/>
  <c r="I136" i="31"/>
  <c r="H136" i="31"/>
  <c r="G136" i="31"/>
  <c r="F136" i="31"/>
  <c r="E136" i="31"/>
  <c r="D136" i="31"/>
  <c r="C136" i="31"/>
  <c r="A136" i="31"/>
  <c r="N135" i="31"/>
  <c r="N138" i="31" s="1"/>
  <c r="M135" i="31"/>
  <c r="M138" i="31" s="1"/>
  <c r="L135" i="31"/>
  <c r="K135" i="31"/>
  <c r="J135" i="31"/>
  <c r="I135" i="31"/>
  <c r="I138" i="31" s="1"/>
  <c r="H135" i="31"/>
  <c r="G135" i="31"/>
  <c r="F135" i="31"/>
  <c r="F138" i="31" s="1"/>
  <c r="E135" i="31"/>
  <c r="E138" i="31" s="1"/>
  <c r="D135" i="31"/>
  <c r="C135" i="31"/>
  <c r="A135" i="31"/>
  <c r="O134" i="31"/>
  <c r="A134" i="31"/>
  <c r="A133" i="31"/>
  <c r="N132" i="31"/>
  <c r="M132" i="31"/>
  <c r="L132" i="31"/>
  <c r="K132" i="31"/>
  <c r="J132" i="31"/>
  <c r="I132" i="31"/>
  <c r="H132" i="31"/>
  <c r="G132" i="31"/>
  <c r="F132" i="31"/>
  <c r="E132" i="31"/>
  <c r="D132" i="31"/>
  <c r="C132" i="31"/>
  <c r="A132" i="31"/>
  <c r="N131" i="31"/>
  <c r="N133" i="31" s="1"/>
  <c r="M131" i="31"/>
  <c r="L131" i="31"/>
  <c r="L133" i="31" s="1"/>
  <c r="K131" i="31"/>
  <c r="K133" i="31" s="1"/>
  <c r="J131" i="31"/>
  <c r="J133" i="31" s="1"/>
  <c r="I131" i="31"/>
  <c r="H131" i="31"/>
  <c r="H133" i="31" s="1"/>
  <c r="G131" i="31"/>
  <c r="G133" i="31" s="1"/>
  <c r="F131" i="31"/>
  <c r="F133" i="31" s="1"/>
  <c r="E131" i="31"/>
  <c r="D131" i="31"/>
  <c r="D133" i="31" s="1"/>
  <c r="C131" i="31"/>
  <c r="C133" i="31" s="1"/>
  <c r="A131" i="31"/>
  <c r="O130" i="31"/>
  <c r="A130" i="31"/>
  <c r="O129" i="31"/>
  <c r="A129" i="31"/>
  <c r="A128" i="31"/>
  <c r="N127" i="31"/>
  <c r="M127" i="31"/>
  <c r="L127" i="31"/>
  <c r="K127" i="31"/>
  <c r="J127" i="31"/>
  <c r="I127" i="31"/>
  <c r="H127" i="31"/>
  <c r="G127" i="31"/>
  <c r="F127" i="31"/>
  <c r="E127" i="31"/>
  <c r="D127" i="31"/>
  <c r="C127" i="31"/>
  <c r="A127" i="31"/>
  <c r="N126" i="31"/>
  <c r="M126" i="31"/>
  <c r="L126" i="31"/>
  <c r="K126" i="31"/>
  <c r="J126" i="31"/>
  <c r="I126" i="31"/>
  <c r="H126" i="31"/>
  <c r="G126" i="31"/>
  <c r="F126" i="31"/>
  <c r="E126" i="31"/>
  <c r="D126" i="31"/>
  <c r="C126" i="31"/>
  <c r="A126" i="31"/>
  <c r="N125" i="31"/>
  <c r="M125" i="31"/>
  <c r="L125" i="31"/>
  <c r="K125" i="31"/>
  <c r="J125" i="31"/>
  <c r="I125" i="31"/>
  <c r="H125" i="31"/>
  <c r="G125" i="31"/>
  <c r="F125" i="31"/>
  <c r="E125" i="31"/>
  <c r="D125" i="31"/>
  <c r="C125" i="31"/>
  <c r="O125" i="31" s="1"/>
  <c r="A125" i="31"/>
  <c r="N124" i="31"/>
  <c r="M124" i="31"/>
  <c r="L124" i="31"/>
  <c r="K124" i="31"/>
  <c r="J124" i="31"/>
  <c r="I124" i="31"/>
  <c r="H124" i="31"/>
  <c r="G124" i="31"/>
  <c r="F124" i="31"/>
  <c r="E124" i="31"/>
  <c r="D124" i="31"/>
  <c r="C124" i="31"/>
  <c r="A124" i="31"/>
  <c r="N123" i="31"/>
  <c r="M123" i="31"/>
  <c r="L123" i="31"/>
  <c r="K123" i="31"/>
  <c r="J123" i="31"/>
  <c r="I123" i="31"/>
  <c r="H123" i="31"/>
  <c r="G123" i="31"/>
  <c r="F123" i="31"/>
  <c r="E123" i="31"/>
  <c r="D123" i="31"/>
  <c r="C123" i="31"/>
  <c r="A123" i="31"/>
  <c r="N122" i="31"/>
  <c r="M122" i="31"/>
  <c r="L122" i="31"/>
  <c r="K122" i="31"/>
  <c r="J122" i="31"/>
  <c r="I122" i="31"/>
  <c r="H122" i="31"/>
  <c r="G122" i="31"/>
  <c r="F122" i="31"/>
  <c r="E122" i="31"/>
  <c r="D122" i="31"/>
  <c r="C122" i="31"/>
  <c r="A122" i="31"/>
  <c r="N121" i="31"/>
  <c r="M121" i="31"/>
  <c r="L121" i="31"/>
  <c r="K121" i="31"/>
  <c r="J121" i="31"/>
  <c r="I121" i="31"/>
  <c r="H121" i="31"/>
  <c r="G121" i="31"/>
  <c r="F121" i="31"/>
  <c r="E121" i="31"/>
  <c r="D121" i="31"/>
  <c r="C121" i="31"/>
  <c r="O121" i="31" s="1"/>
  <c r="A121" i="31"/>
  <c r="A120" i="31"/>
  <c r="N119" i="31"/>
  <c r="M119" i="31"/>
  <c r="L119" i="31"/>
  <c r="K119" i="31"/>
  <c r="J119" i="31"/>
  <c r="I119" i="31"/>
  <c r="H119" i="31"/>
  <c r="G119" i="31"/>
  <c r="F119" i="31"/>
  <c r="E119" i="31"/>
  <c r="D119" i="31"/>
  <c r="C119" i="31"/>
  <c r="A119" i="31"/>
  <c r="N118" i="31"/>
  <c r="M118" i="31"/>
  <c r="L118" i="31"/>
  <c r="K118" i="31"/>
  <c r="J118" i="31"/>
  <c r="I118" i="31"/>
  <c r="H118" i="31"/>
  <c r="G118" i="31"/>
  <c r="F118" i="31"/>
  <c r="E118" i="31"/>
  <c r="D118" i="31"/>
  <c r="C118" i="31"/>
  <c r="A118" i="31"/>
  <c r="N117" i="31"/>
  <c r="N120" i="31" s="1"/>
  <c r="M117" i="31"/>
  <c r="L117" i="31"/>
  <c r="K117" i="31"/>
  <c r="J117" i="31"/>
  <c r="I117" i="31"/>
  <c r="H117" i="31"/>
  <c r="G117" i="31"/>
  <c r="F117" i="31"/>
  <c r="F120" i="31" s="1"/>
  <c r="E117" i="31"/>
  <c r="D117" i="31"/>
  <c r="C117" i="31"/>
  <c r="A117" i="31"/>
  <c r="O116" i="31"/>
  <c r="A116" i="31"/>
  <c r="A115" i="31"/>
  <c r="N114" i="31"/>
  <c r="M114" i="31"/>
  <c r="L114" i="31"/>
  <c r="K114" i="31"/>
  <c r="J114" i="31"/>
  <c r="I114" i="31"/>
  <c r="H114" i="31"/>
  <c r="G114" i="31"/>
  <c r="F114" i="31"/>
  <c r="E114" i="31"/>
  <c r="D114" i="31"/>
  <c r="C114" i="31"/>
  <c r="A114" i="31"/>
  <c r="N113" i="31"/>
  <c r="M113" i="31"/>
  <c r="L113" i="31"/>
  <c r="K113" i="31"/>
  <c r="J113" i="31"/>
  <c r="I113" i="31"/>
  <c r="H113" i="31"/>
  <c r="G113" i="31"/>
  <c r="F113" i="31"/>
  <c r="E113" i="31"/>
  <c r="D113" i="31"/>
  <c r="C113" i="31"/>
  <c r="A113" i="31"/>
  <c r="N112" i="31"/>
  <c r="M112" i="31"/>
  <c r="L112" i="31"/>
  <c r="K112" i="31"/>
  <c r="J112" i="31"/>
  <c r="I112" i="31"/>
  <c r="H112" i="31"/>
  <c r="G112" i="31"/>
  <c r="F112" i="31"/>
  <c r="E112" i="31"/>
  <c r="D112" i="31"/>
  <c r="C112" i="31"/>
  <c r="A112" i="31"/>
  <c r="N111" i="31"/>
  <c r="M111" i="31"/>
  <c r="M115" i="31" s="1"/>
  <c r="L111" i="31"/>
  <c r="K111" i="31"/>
  <c r="J111" i="31"/>
  <c r="I111" i="31"/>
  <c r="I115" i="31" s="1"/>
  <c r="H111" i="31"/>
  <c r="G111" i="31"/>
  <c r="F111" i="31"/>
  <c r="E111" i="31"/>
  <c r="E115" i="31" s="1"/>
  <c r="D111" i="31"/>
  <c r="C111" i="31"/>
  <c r="A111" i="31"/>
  <c r="O110" i="31"/>
  <c r="A110" i="31"/>
  <c r="O109" i="31"/>
  <c r="A109" i="31"/>
  <c r="A108" i="31"/>
  <c r="N107" i="31"/>
  <c r="M107" i="31"/>
  <c r="L107" i="31"/>
  <c r="K107" i="31"/>
  <c r="J107" i="31"/>
  <c r="I107" i="31"/>
  <c r="H107" i="31"/>
  <c r="G107" i="31"/>
  <c r="F107" i="31"/>
  <c r="E107" i="31"/>
  <c r="D107" i="31"/>
  <c r="C107" i="31"/>
  <c r="A107" i="31"/>
  <c r="N106" i="31"/>
  <c r="M106" i="31"/>
  <c r="L106" i="31"/>
  <c r="K106" i="31"/>
  <c r="J106" i="31"/>
  <c r="I106" i="31"/>
  <c r="H106" i="31"/>
  <c r="G106" i="31"/>
  <c r="F106" i="31"/>
  <c r="E106" i="31"/>
  <c r="D106" i="31"/>
  <c r="C106" i="31"/>
  <c r="A106" i="31"/>
  <c r="N105" i="31"/>
  <c r="M105" i="31"/>
  <c r="L105" i="31"/>
  <c r="K105" i="31"/>
  <c r="J105" i="31"/>
  <c r="J108" i="31" s="1"/>
  <c r="I105" i="31"/>
  <c r="H105" i="31"/>
  <c r="G105" i="31"/>
  <c r="F105" i="31"/>
  <c r="E105" i="31"/>
  <c r="D105" i="31"/>
  <c r="C105" i="31"/>
  <c r="A105" i="31"/>
  <c r="N104" i="31"/>
  <c r="M104" i="31"/>
  <c r="L104" i="31"/>
  <c r="K104" i="31"/>
  <c r="K108" i="31" s="1"/>
  <c r="J104" i="31"/>
  <c r="I104" i="31"/>
  <c r="H104" i="31"/>
  <c r="G104" i="31"/>
  <c r="G108" i="31" s="1"/>
  <c r="F104" i="31"/>
  <c r="E104" i="31"/>
  <c r="D104" i="31"/>
  <c r="C104" i="31"/>
  <c r="C108" i="31" s="1"/>
  <c r="A104" i="31"/>
  <c r="N103" i="31"/>
  <c r="M103" i="31"/>
  <c r="L103" i="31"/>
  <c r="K103" i="31"/>
  <c r="J103" i="31"/>
  <c r="I103" i="31"/>
  <c r="H103" i="31"/>
  <c r="G103" i="31"/>
  <c r="F103" i="31"/>
  <c r="E103" i="31"/>
  <c r="D103" i="31"/>
  <c r="C103" i="31"/>
  <c r="A103" i="31"/>
  <c r="O102" i="31"/>
  <c r="A102" i="31"/>
  <c r="A101" i="31"/>
  <c r="N100" i="31"/>
  <c r="M100" i="31"/>
  <c r="L100" i="31"/>
  <c r="K100" i="31"/>
  <c r="J100" i="31"/>
  <c r="I100" i="31"/>
  <c r="H100" i="31"/>
  <c r="G100" i="31"/>
  <c r="F100" i="31"/>
  <c r="E100" i="31"/>
  <c r="D100" i="31"/>
  <c r="C100" i="31"/>
  <c r="A100" i="31"/>
  <c r="N99" i="31"/>
  <c r="M99" i="31"/>
  <c r="L99" i="31"/>
  <c r="K99" i="31"/>
  <c r="J99" i="31"/>
  <c r="I99" i="31"/>
  <c r="H99" i="31"/>
  <c r="G99" i="31"/>
  <c r="F99" i="31"/>
  <c r="E99" i="31"/>
  <c r="D99" i="31"/>
  <c r="C99" i="31"/>
  <c r="A99" i="31"/>
  <c r="N98" i="31"/>
  <c r="M98" i="31"/>
  <c r="L98" i="31"/>
  <c r="K98" i="31"/>
  <c r="J98" i="31"/>
  <c r="I98" i="31"/>
  <c r="H98" i="31"/>
  <c r="G98" i="31"/>
  <c r="F98" i="31"/>
  <c r="E98" i="31"/>
  <c r="D98" i="31"/>
  <c r="C98" i="31"/>
  <c r="A98" i="31"/>
  <c r="N97" i="31"/>
  <c r="M97" i="31"/>
  <c r="L97" i="31"/>
  <c r="K97" i="31"/>
  <c r="J97" i="31"/>
  <c r="I97" i="31"/>
  <c r="H97" i="31"/>
  <c r="G97" i="31"/>
  <c r="F97" i="31"/>
  <c r="E97" i="31"/>
  <c r="D97" i="31"/>
  <c r="C97" i="31"/>
  <c r="O97" i="31" s="1"/>
  <c r="A97" i="31"/>
  <c r="N96" i="31"/>
  <c r="M96" i="31"/>
  <c r="L96" i="31"/>
  <c r="L101" i="31" s="1"/>
  <c r="K96" i="31"/>
  <c r="J96" i="31"/>
  <c r="I96" i="31"/>
  <c r="H96" i="31"/>
  <c r="H101" i="31" s="1"/>
  <c r="G96" i="31"/>
  <c r="F96" i="31"/>
  <c r="E96" i="31"/>
  <c r="D96" i="31"/>
  <c r="D101" i="31" s="1"/>
  <c r="C96" i="31"/>
  <c r="A96" i="31"/>
  <c r="O95" i="31"/>
  <c r="A95" i="31"/>
  <c r="A94" i="31"/>
  <c r="N93" i="31"/>
  <c r="M93" i="31"/>
  <c r="L93" i="31"/>
  <c r="K93" i="31"/>
  <c r="J93" i="31"/>
  <c r="I93" i="31"/>
  <c r="H93" i="31"/>
  <c r="G93" i="31"/>
  <c r="F93" i="31"/>
  <c r="E93" i="31"/>
  <c r="D93" i="31"/>
  <c r="C93" i="31"/>
  <c r="A93" i="31"/>
  <c r="N92" i="31"/>
  <c r="M92" i="31"/>
  <c r="L92" i="31"/>
  <c r="K92" i="31"/>
  <c r="J92" i="31"/>
  <c r="I92" i="31"/>
  <c r="H92" i="31"/>
  <c r="G92" i="31"/>
  <c r="F92" i="31"/>
  <c r="E92" i="31"/>
  <c r="D92" i="31"/>
  <c r="C92" i="31"/>
  <c r="A92" i="31"/>
  <c r="N91" i="31"/>
  <c r="M91" i="31"/>
  <c r="L91" i="31"/>
  <c r="K91" i="31"/>
  <c r="J91" i="31"/>
  <c r="I91" i="31"/>
  <c r="H91" i="31"/>
  <c r="G91" i="31"/>
  <c r="F91" i="31"/>
  <c r="E91" i="31"/>
  <c r="D91" i="31"/>
  <c r="C91" i="31"/>
  <c r="A91" i="31"/>
  <c r="N90" i="31"/>
  <c r="M90" i="31"/>
  <c r="L90" i="31"/>
  <c r="K90" i="31"/>
  <c r="J90" i="31"/>
  <c r="I90" i="31"/>
  <c r="H90" i="31"/>
  <c r="G90" i="31"/>
  <c r="F90" i="31"/>
  <c r="E90" i="31"/>
  <c r="D90" i="31"/>
  <c r="C90" i="31"/>
  <c r="O90" i="31" s="1"/>
  <c r="A90" i="31"/>
  <c r="N89" i="31"/>
  <c r="M89" i="31"/>
  <c r="L89" i="31"/>
  <c r="K89" i="31"/>
  <c r="J89" i="31"/>
  <c r="I89" i="31"/>
  <c r="H89" i="31"/>
  <c r="G89" i="31"/>
  <c r="F89" i="31"/>
  <c r="E89" i="31"/>
  <c r="D89" i="31"/>
  <c r="C89" i="31"/>
  <c r="A89" i="31"/>
  <c r="N88" i="31"/>
  <c r="M88" i="31"/>
  <c r="L88" i="31"/>
  <c r="K88" i="31"/>
  <c r="J88" i="31"/>
  <c r="I88" i="31"/>
  <c r="H88" i="31"/>
  <c r="G88" i="31"/>
  <c r="F88" i="31"/>
  <c r="E88" i="31"/>
  <c r="D88" i="31"/>
  <c r="C88" i="31"/>
  <c r="A88" i="31"/>
  <c r="N87" i="31"/>
  <c r="M87" i="31"/>
  <c r="L87" i="31"/>
  <c r="K87" i="31"/>
  <c r="J87" i="31"/>
  <c r="I87" i="31"/>
  <c r="H87" i="31"/>
  <c r="G87" i="31"/>
  <c r="F87" i="31"/>
  <c r="E87" i="31"/>
  <c r="D87" i="31"/>
  <c r="C87" i="31"/>
  <c r="A87" i="31"/>
  <c r="N86" i="31"/>
  <c r="M86" i="31"/>
  <c r="L86" i="31"/>
  <c r="K86" i="31"/>
  <c r="J86" i="31"/>
  <c r="I86" i="31"/>
  <c r="H86" i="31"/>
  <c r="G86" i="31"/>
  <c r="F86" i="31"/>
  <c r="E86" i="31"/>
  <c r="D86" i="31"/>
  <c r="C86" i="31"/>
  <c r="O86" i="31" s="1"/>
  <c r="A86" i="31"/>
  <c r="N85" i="31"/>
  <c r="M85" i="31"/>
  <c r="L85" i="31"/>
  <c r="K85" i="31"/>
  <c r="J85" i="31"/>
  <c r="I85" i="31"/>
  <c r="H85" i="31"/>
  <c r="G85" i="31"/>
  <c r="F85" i="31"/>
  <c r="E85" i="31"/>
  <c r="D85" i="31"/>
  <c r="C85" i="31"/>
  <c r="A85" i="31"/>
  <c r="N84" i="31"/>
  <c r="M84" i="31"/>
  <c r="M94" i="31" s="1"/>
  <c r="L84" i="31"/>
  <c r="K84" i="31"/>
  <c r="J84" i="31"/>
  <c r="I84" i="31"/>
  <c r="I94" i="31" s="1"/>
  <c r="H84" i="31"/>
  <c r="G84" i="31"/>
  <c r="F84" i="31"/>
  <c r="E84" i="31"/>
  <c r="E94" i="31" s="1"/>
  <c r="D84" i="31"/>
  <c r="C84" i="31"/>
  <c r="A84" i="31"/>
  <c r="O83" i="31"/>
  <c r="A83" i="31"/>
  <c r="F82" i="31"/>
  <c r="A82" i="31"/>
  <c r="N81" i="31"/>
  <c r="N82" i="31" s="1"/>
  <c r="M81" i="31"/>
  <c r="M82" i="31" s="1"/>
  <c r="L81" i="31"/>
  <c r="L82" i="31" s="1"/>
  <c r="K81" i="31"/>
  <c r="K82" i="31" s="1"/>
  <c r="J81" i="31"/>
  <c r="J82" i="31" s="1"/>
  <c r="I81" i="31"/>
  <c r="I82" i="31" s="1"/>
  <c r="H81" i="31"/>
  <c r="H82" i="31" s="1"/>
  <c r="G81" i="31"/>
  <c r="G82" i="31" s="1"/>
  <c r="F81" i="31"/>
  <c r="E81" i="31"/>
  <c r="E82" i="31" s="1"/>
  <c r="D81" i="31"/>
  <c r="D82" i="31" s="1"/>
  <c r="C81" i="31"/>
  <c r="A81" i="31"/>
  <c r="O80" i="31"/>
  <c r="A80" i="31"/>
  <c r="A79" i="31"/>
  <c r="N78" i="31"/>
  <c r="M78" i="31"/>
  <c r="L78" i="31"/>
  <c r="K78" i="31"/>
  <c r="J78" i="31"/>
  <c r="I78" i="31"/>
  <c r="H78" i="31"/>
  <c r="G78" i="31"/>
  <c r="F78" i="31"/>
  <c r="E78" i="31"/>
  <c r="D78" i="31"/>
  <c r="C78" i="31"/>
  <c r="A78" i="31"/>
  <c r="N77" i="31"/>
  <c r="N79" i="31" s="1"/>
  <c r="M77" i="31"/>
  <c r="L77" i="31"/>
  <c r="K77" i="31"/>
  <c r="J77" i="31"/>
  <c r="I77" i="31"/>
  <c r="H77" i="31"/>
  <c r="G77" i="31"/>
  <c r="F77" i="31"/>
  <c r="F79" i="31" s="1"/>
  <c r="E77" i="31"/>
  <c r="D77" i="31"/>
  <c r="C77" i="31"/>
  <c r="A77" i="31"/>
  <c r="N76" i="31"/>
  <c r="M76" i="31"/>
  <c r="L76" i="31"/>
  <c r="K76" i="31"/>
  <c r="K79" i="31" s="1"/>
  <c r="J76" i="31"/>
  <c r="J79" i="31" s="1"/>
  <c r="I76" i="31"/>
  <c r="H76" i="31"/>
  <c r="G76" i="31"/>
  <c r="G79" i="31" s="1"/>
  <c r="F76" i="31"/>
  <c r="E76" i="31"/>
  <c r="D76" i="31"/>
  <c r="C76" i="31"/>
  <c r="C79" i="31" s="1"/>
  <c r="A76" i="31"/>
  <c r="O75" i="31"/>
  <c r="A75" i="31"/>
  <c r="A74" i="31"/>
  <c r="N73" i="31"/>
  <c r="M73" i="31"/>
  <c r="L73" i="31"/>
  <c r="K73" i="31"/>
  <c r="J73" i="31"/>
  <c r="I73" i="31"/>
  <c r="H73" i="31"/>
  <c r="G73" i="31"/>
  <c r="F73" i="31"/>
  <c r="E73" i="31"/>
  <c r="D73" i="31"/>
  <c r="C73" i="31"/>
  <c r="O73" i="31" s="1"/>
  <c r="A73" i="31"/>
  <c r="N72" i="31"/>
  <c r="M72" i="31"/>
  <c r="L72" i="31"/>
  <c r="K72" i="31"/>
  <c r="J72" i="31"/>
  <c r="I72" i="31"/>
  <c r="H72" i="31"/>
  <c r="G72" i="31"/>
  <c r="F72" i="31"/>
  <c r="E72" i="31"/>
  <c r="D72" i="31"/>
  <c r="C72" i="31"/>
  <c r="A72" i="31"/>
  <c r="N71" i="31"/>
  <c r="M71" i="31"/>
  <c r="L71" i="31"/>
  <c r="K71" i="31"/>
  <c r="J71" i="31"/>
  <c r="I71" i="31"/>
  <c r="H71" i="31"/>
  <c r="G71" i="31"/>
  <c r="F71" i="31"/>
  <c r="E71" i="31"/>
  <c r="D71" i="31"/>
  <c r="C71" i="31"/>
  <c r="A71" i="31"/>
  <c r="N70" i="31"/>
  <c r="M70" i="31"/>
  <c r="L70" i="31"/>
  <c r="K70" i="31"/>
  <c r="J70" i="31"/>
  <c r="J74" i="31" s="1"/>
  <c r="I70" i="31"/>
  <c r="H70" i="31"/>
  <c r="G70" i="31"/>
  <c r="F70" i="31"/>
  <c r="E70" i="31"/>
  <c r="D70" i="31"/>
  <c r="C70" i="31"/>
  <c r="A70" i="31"/>
  <c r="N69" i="31"/>
  <c r="M69" i="31"/>
  <c r="L69" i="31"/>
  <c r="K69" i="31"/>
  <c r="J69" i="31"/>
  <c r="I69" i="31"/>
  <c r="H69" i="31"/>
  <c r="G69" i="31"/>
  <c r="F69" i="31"/>
  <c r="E69" i="31"/>
  <c r="D69" i="31"/>
  <c r="C69" i="31"/>
  <c r="O69" i="31" s="1"/>
  <c r="A69" i="31"/>
  <c r="N68" i="31"/>
  <c r="M68" i="31"/>
  <c r="L68" i="31"/>
  <c r="L74" i="31" s="1"/>
  <c r="K68" i="31"/>
  <c r="J68" i="31"/>
  <c r="I68" i="31"/>
  <c r="H68" i="31"/>
  <c r="H74" i="31" s="1"/>
  <c r="G68" i="31"/>
  <c r="F68" i="31"/>
  <c r="E68" i="31"/>
  <c r="D68" i="31"/>
  <c r="D74" i="31" s="1"/>
  <c r="C68" i="31"/>
  <c r="A68" i="31"/>
  <c r="O67" i="31"/>
  <c r="A67" i="31"/>
  <c r="A66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A65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A64" i="31"/>
  <c r="N63" i="31"/>
  <c r="M63" i="31"/>
  <c r="L63" i="31"/>
  <c r="K63" i="31"/>
  <c r="J63" i="31"/>
  <c r="I63" i="31"/>
  <c r="H63" i="31"/>
  <c r="G63" i="31"/>
  <c r="F63" i="31"/>
  <c r="E63" i="31"/>
  <c r="D63" i="31"/>
  <c r="C63" i="31"/>
  <c r="A63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A62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A61" i="31"/>
  <c r="N60" i="31"/>
  <c r="N66" i="31" s="1"/>
  <c r="M60" i="31"/>
  <c r="L60" i="31"/>
  <c r="K60" i="31"/>
  <c r="K66" i="31" s="1"/>
  <c r="J60" i="31"/>
  <c r="J66" i="31" s="1"/>
  <c r="I60" i="31"/>
  <c r="H60" i="31"/>
  <c r="H66" i="31" s="1"/>
  <c r="G60" i="31"/>
  <c r="G66" i="31" s="1"/>
  <c r="F60" i="31"/>
  <c r="F66" i="31" s="1"/>
  <c r="E60" i="31"/>
  <c r="D60" i="31"/>
  <c r="C60" i="31"/>
  <c r="C66" i="31" s="1"/>
  <c r="A60" i="31"/>
  <c r="O59" i="31"/>
  <c r="A59" i="31"/>
  <c r="A58" i="31"/>
  <c r="A57" i="31"/>
  <c r="A56" i="31"/>
  <c r="A55" i="31"/>
  <c r="M54" i="31"/>
  <c r="A54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A53" i="31"/>
  <c r="N52" i="31"/>
  <c r="M52" i="31"/>
  <c r="L52" i="31"/>
  <c r="L54" i="31" s="1"/>
  <c r="K52" i="31"/>
  <c r="K54" i="31" s="1"/>
  <c r="J52" i="31"/>
  <c r="I52" i="31"/>
  <c r="I54" i="31" s="1"/>
  <c r="H52" i="31"/>
  <c r="H54" i="31" s="1"/>
  <c r="G52" i="31"/>
  <c r="G54" i="31" s="1"/>
  <c r="F52" i="31"/>
  <c r="E52" i="31"/>
  <c r="E54" i="31" s="1"/>
  <c r="D52" i="31"/>
  <c r="D54" i="31" s="1"/>
  <c r="C52" i="31"/>
  <c r="C54" i="31" s="1"/>
  <c r="A52" i="31"/>
  <c r="O51" i="31"/>
  <c r="A51" i="31"/>
  <c r="A50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O49" i="31" s="1"/>
  <c r="A49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A48" i="31"/>
  <c r="N47" i="31"/>
  <c r="M47" i="31"/>
  <c r="M50" i="31" s="1"/>
  <c r="M55" i="31" s="1"/>
  <c r="L47" i="31"/>
  <c r="K47" i="31"/>
  <c r="J47" i="31"/>
  <c r="I47" i="31"/>
  <c r="I50" i="31" s="1"/>
  <c r="I55" i="31" s="1"/>
  <c r="H47" i="31"/>
  <c r="G47" i="31"/>
  <c r="F47" i="31"/>
  <c r="E47" i="31"/>
  <c r="E50" i="31" s="1"/>
  <c r="E55" i="31" s="1"/>
  <c r="D47" i="31"/>
  <c r="C47" i="31"/>
  <c r="A47" i="31"/>
  <c r="O46" i="31"/>
  <c r="A46" i="31"/>
  <c r="O45" i="31"/>
  <c r="A45" i="31"/>
  <c r="M44" i="31"/>
  <c r="A44" i="31"/>
  <c r="N43" i="31"/>
  <c r="M43" i="31"/>
  <c r="L43" i="31"/>
  <c r="K43" i="31"/>
  <c r="J43" i="31"/>
  <c r="I43" i="31"/>
  <c r="I44" i="31" s="1"/>
  <c r="H43" i="31"/>
  <c r="G43" i="31"/>
  <c r="F43" i="31"/>
  <c r="E43" i="31"/>
  <c r="D43" i="31"/>
  <c r="C43" i="31"/>
  <c r="A43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A42" i="31"/>
  <c r="N41" i="31"/>
  <c r="M41" i="31"/>
  <c r="L41" i="31"/>
  <c r="L44" i="31" s="1"/>
  <c r="K41" i="31"/>
  <c r="K44" i="31" s="1"/>
  <c r="J41" i="31"/>
  <c r="I41" i="31"/>
  <c r="H41" i="31"/>
  <c r="H44" i="31" s="1"/>
  <c r="G41" i="31"/>
  <c r="G44" i="31" s="1"/>
  <c r="F41" i="31"/>
  <c r="E41" i="31"/>
  <c r="D41" i="31"/>
  <c r="D44" i="31" s="1"/>
  <c r="C41" i="31"/>
  <c r="O41" i="31" s="1"/>
  <c r="A41" i="31"/>
  <c r="O40" i="31"/>
  <c r="A40" i="31"/>
  <c r="A39" i="31"/>
  <c r="A38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O37" i="31" s="1"/>
  <c r="A37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A36" i="31"/>
  <c r="N35" i="31"/>
  <c r="M35" i="31"/>
  <c r="L35" i="31"/>
  <c r="K35" i="31"/>
  <c r="J35" i="31"/>
  <c r="I35" i="31"/>
  <c r="I38" i="31" s="1"/>
  <c r="H35" i="31"/>
  <c r="G35" i="31"/>
  <c r="F35" i="31"/>
  <c r="E35" i="31"/>
  <c r="E38" i="31" s="1"/>
  <c r="D35" i="31"/>
  <c r="C35" i="31"/>
  <c r="A35" i="31"/>
  <c r="N34" i="31"/>
  <c r="N38" i="31" s="1"/>
  <c r="M34" i="31"/>
  <c r="M38" i="31" s="1"/>
  <c r="L34" i="31"/>
  <c r="K34" i="31"/>
  <c r="K38" i="31" s="1"/>
  <c r="J34" i="31"/>
  <c r="J38" i="31" s="1"/>
  <c r="I34" i="31"/>
  <c r="H34" i="31"/>
  <c r="G34" i="31"/>
  <c r="G38" i="31" s="1"/>
  <c r="F34" i="31"/>
  <c r="F38" i="31" s="1"/>
  <c r="E34" i="31"/>
  <c r="D34" i="31"/>
  <c r="C34" i="31"/>
  <c r="C38" i="31" s="1"/>
  <c r="A34" i="31"/>
  <c r="O33" i="31"/>
  <c r="A33" i="31"/>
  <c r="I32" i="31"/>
  <c r="A32" i="31"/>
  <c r="N31" i="31"/>
  <c r="M31" i="31"/>
  <c r="M32" i="31" s="1"/>
  <c r="M39" i="31" s="1"/>
  <c r="L31" i="31"/>
  <c r="K31" i="31"/>
  <c r="J31" i="31"/>
  <c r="I31" i="31"/>
  <c r="H31" i="31"/>
  <c r="G31" i="31"/>
  <c r="F31" i="31"/>
  <c r="E31" i="31"/>
  <c r="D31" i="31"/>
  <c r="C31" i="31"/>
  <c r="A31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O30" i="31" s="1"/>
  <c r="A30" i="31"/>
  <c r="N29" i="31"/>
  <c r="M29" i="31"/>
  <c r="L29" i="31"/>
  <c r="L32" i="31" s="1"/>
  <c r="K29" i="31"/>
  <c r="J29" i="31"/>
  <c r="I29" i="31"/>
  <c r="H29" i="31"/>
  <c r="H32" i="31" s="1"/>
  <c r="G29" i="31"/>
  <c r="F29" i="31"/>
  <c r="E29" i="31"/>
  <c r="E32" i="31" s="1"/>
  <c r="D29" i="31"/>
  <c r="D32" i="31" s="1"/>
  <c r="C29" i="31"/>
  <c r="A29" i="31"/>
  <c r="O28" i="31"/>
  <c r="A28" i="31"/>
  <c r="O27" i="31"/>
  <c r="A27" i="31"/>
  <c r="A26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O25" i="31" s="1"/>
  <c r="A25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24" i="31"/>
  <c r="N23" i="31"/>
  <c r="M23" i="31"/>
  <c r="M26" i="31" s="1"/>
  <c r="L23" i="31"/>
  <c r="K23" i="31"/>
  <c r="J23" i="31"/>
  <c r="I23" i="31"/>
  <c r="H23" i="31"/>
  <c r="G23" i="31"/>
  <c r="F23" i="31"/>
  <c r="E23" i="31"/>
  <c r="D23" i="31"/>
  <c r="C23" i="31"/>
  <c r="A23" i="31"/>
  <c r="N22" i="31"/>
  <c r="N26" i="31" s="1"/>
  <c r="M22" i="31"/>
  <c r="L22" i="31"/>
  <c r="K22" i="31"/>
  <c r="J22" i="31"/>
  <c r="J26" i="31" s="1"/>
  <c r="I22" i="31"/>
  <c r="H22" i="31"/>
  <c r="G22" i="31"/>
  <c r="F22" i="31"/>
  <c r="F26" i="31" s="1"/>
  <c r="E22" i="31"/>
  <c r="D22" i="31"/>
  <c r="C22" i="31"/>
  <c r="A22" i="31"/>
  <c r="O21" i="31"/>
  <c r="A21" i="31"/>
  <c r="F20" i="31"/>
  <c r="A20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A19" i="31"/>
  <c r="N18" i="31"/>
  <c r="N20" i="31" s="1"/>
  <c r="M18" i="31"/>
  <c r="M20" i="31" s="1"/>
  <c r="L18" i="31"/>
  <c r="K18" i="31"/>
  <c r="J18" i="31"/>
  <c r="J20" i="31" s="1"/>
  <c r="I18" i="31"/>
  <c r="I20" i="31" s="1"/>
  <c r="H18" i="31"/>
  <c r="G18" i="31"/>
  <c r="F18" i="31"/>
  <c r="E18" i="31"/>
  <c r="E20" i="31" s="1"/>
  <c r="D18" i="31"/>
  <c r="C18" i="31"/>
  <c r="A18" i="31"/>
  <c r="O17" i="31"/>
  <c r="A17" i="31"/>
  <c r="A16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A15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A14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O13" i="31" s="1"/>
  <c r="A13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A12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A11" i="31"/>
  <c r="N10" i="31"/>
  <c r="M10" i="31"/>
  <c r="L10" i="31"/>
  <c r="K10" i="31"/>
  <c r="J10" i="31"/>
  <c r="J16" i="31" s="1"/>
  <c r="I10" i="31"/>
  <c r="H10" i="31"/>
  <c r="G10" i="31"/>
  <c r="F10" i="31"/>
  <c r="E10" i="31"/>
  <c r="D10" i="31"/>
  <c r="C10" i="31"/>
  <c r="A10" i="31"/>
  <c r="N9" i="31"/>
  <c r="M9" i="31"/>
  <c r="L9" i="31"/>
  <c r="K9" i="31"/>
  <c r="J9" i="31"/>
  <c r="I9" i="31"/>
  <c r="H9" i="31"/>
  <c r="G9" i="31"/>
  <c r="F9" i="31"/>
  <c r="E9" i="31"/>
  <c r="D9" i="31"/>
  <c r="C9" i="31"/>
  <c r="O9" i="31" s="1"/>
  <c r="A9" i="31"/>
  <c r="N8" i="31"/>
  <c r="M8" i="31"/>
  <c r="L8" i="31"/>
  <c r="K8" i="31"/>
  <c r="J8" i="31"/>
  <c r="I8" i="31"/>
  <c r="H8" i="31"/>
  <c r="G8" i="31"/>
  <c r="F8" i="31"/>
  <c r="E8" i="31"/>
  <c r="D8" i="31"/>
  <c r="C8" i="31"/>
  <c r="A8" i="31"/>
  <c r="O7" i="31"/>
  <c r="A7" i="31"/>
  <c r="A6" i="31"/>
  <c r="A190" i="30"/>
  <c r="I189" i="30"/>
  <c r="A189" i="30"/>
  <c r="N188" i="30"/>
  <c r="N189" i="30" s="1"/>
  <c r="M188" i="30"/>
  <c r="M189" i="30" s="1"/>
  <c r="L188" i="30"/>
  <c r="L189" i="30" s="1"/>
  <c r="K188" i="30"/>
  <c r="K189" i="30" s="1"/>
  <c r="J188" i="30"/>
  <c r="J189" i="30" s="1"/>
  <c r="A188" i="30"/>
  <c r="K187" i="30"/>
  <c r="O187" i="30" s="1"/>
  <c r="A187" i="30"/>
  <c r="I186" i="30"/>
  <c r="I188" i="30" s="1"/>
  <c r="H186" i="30"/>
  <c r="H188" i="30" s="1"/>
  <c r="H189" i="30" s="1"/>
  <c r="G186" i="30"/>
  <c r="G188" i="30" s="1"/>
  <c r="G189" i="30" s="1"/>
  <c r="F186" i="30"/>
  <c r="F188" i="30" s="1"/>
  <c r="F189" i="30" s="1"/>
  <c r="E186" i="30"/>
  <c r="E188" i="30" s="1"/>
  <c r="E189" i="30" s="1"/>
  <c r="D186" i="30"/>
  <c r="D188" i="30" s="1"/>
  <c r="D189" i="30" s="1"/>
  <c r="C186" i="30"/>
  <c r="A186" i="30"/>
  <c r="A185" i="30"/>
  <c r="A184" i="30"/>
  <c r="A183" i="30"/>
  <c r="N182" i="30"/>
  <c r="A182" i="30"/>
  <c r="N181" i="30"/>
  <c r="M181" i="30"/>
  <c r="L181" i="30"/>
  <c r="K181" i="30"/>
  <c r="J181" i="30"/>
  <c r="A181" i="30"/>
  <c r="I180" i="30"/>
  <c r="H180" i="30"/>
  <c r="G180" i="30"/>
  <c r="F180" i="30"/>
  <c r="E180" i="30"/>
  <c r="D180" i="30"/>
  <c r="C180" i="30"/>
  <c r="A180" i="30"/>
  <c r="I179" i="30"/>
  <c r="H179" i="30"/>
  <c r="G179" i="30"/>
  <c r="F179" i="30"/>
  <c r="E179" i="30"/>
  <c r="D179" i="30"/>
  <c r="C179" i="30"/>
  <c r="A179" i="30"/>
  <c r="I178" i="30"/>
  <c r="I181" i="30" s="1"/>
  <c r="H178" i="30"/>
  <c r="H181" i="30" s="1"/>
  <c r="G178" i="30"/>
  <c r="G181" i="30" s="1"/>
  <c r="F178" i="30"/>
  <c r="E178" i="30"/>
  <c r="E181" i="30" s="1"/>
  <c r="D178" i="30"/>
  <c r="C178" i="30"/>
  <c r="A178" i="30"/>
  <c r="O177" i="30"/>
  <c r="A177" i="30"/>
  <c r="N176" i="30"/>
  <c r="M176" i="30"/>
  <c r="L176" i="30"/>
  <c r="K176" i="30"/>
  <c r="K182" i="30" s="1"/>
  <c r="J176" i="30"/>
  <c r="J182" i="30" s="1"/>
  <c r="I176" i="30"/>
  <c r="G176" i="30"/>
  <c r="G182" i="30" s="1"/>
  <c r="F176" i="30"/>
  <c r="D176" i="30"/>
  <c r="C176" i="30"/>
  <c r="A176" i="30"/>
  <c r="H175" i="30"/>
  <c r="H176" i="30" s="1"/>
  <c r="E175" i="30"/>
  <c r="A175" i="30"/>
  <c r="O174" i="30"/>
  <c r="A174" i="30"/>
  <c r="O173" i="30"/>
  <c r="A173" i="30"/>
  <c r="N172" i="30"/>
  <c r="M172" i="30"/>
  <c r="L172" i="30"/>
  <c r="A172" i="30"/>
  <c r="O171" i="30"/>
  <c r="E171" i="30"/>
  <c r="A171" i="30"/>
  <c r="I170" i="30"/>
  <c r="I172" i="30" s="1"/>
  <c r="H170" i="30"/>
  <c r="G170" i="30"/>
  <c r="F170" i="30"/>
  <c r="E170" i="30"/>
  <c r="E172" i="30" s="1"/>
  <c r="D170" i="30"/>
  <c r="D172" i="30" s="1"/>
  <c r="C170" i="30"/>
  <c r="A170" i="30"/>
  <c r="H169" i="30"/>
  <c r="O169" i="30" s="1"/>
  <c r="A169" i="30"/>
  <c r="G168" i="30"/>
  <c r="C168" i="30"/>
  <c r="A168" i="30"/>
  <c r="C167" i="30"/>
  <c r="A167" i="30"/>
  <c r="K166" i="30"/>
  <c r="K172" i="30" s="1"/>
  <c r="J166" i="30"/>
  <c r="J172" i="30" s="1"/>
  <c r="I166" i="30"/>
  <c r="H166" i="30"/>
  <c r="G166" i="30"/>
  <c r="F166" i="30"/>
  <c r="E166" i="30"/>
  <c r="A166" i="30"/>
  <c r="O165" i="30"/>
  <c r="A165" i="30"/>
  <c r="N164" i="30"/>
  <c r="M164" i="30"/>
  <c r="L164" i="30"/>
  <c r="H164" i="30"/>
  <c r="A164" i="30"/>
  <c r="J163" i="30"/>
  <c r="I163" i="30"/>
  <c r="H163" i="30"/>
  <c r="G163" i="30"/>
  <c r="F163" i="30"/>
  <c r="E163" i="30"/>
  <c r="E164" i="30" s="1"/>
  <c r="D163" i="30"/>
  <c r="C163" i="30"/>
  <c r="C164" i="30" s="1"/>
  <c r="A163" i="30"/>
  <c r="I162" i="30"/>
  <c r="G162" i="30"/>
  <c r="A162" i="30"/>
  <c r="J161" i="30"/>
  <c r="O161" i="30" s="1"/>
  <c r="A161" i="30"/>
  <c r="K160" i="30"/>
  <c r="K164" i="30" s="1"/>
  <c r="J160" i="30"/>
  <c r="I160" i="30"/>
  <c r="H160" i="30"/>
  <c r="O160" i="30" s="1"/>
  <c r="G160" i="30"/>
  <c r="F160" i="30"/>
  <c r="D160" i="30"/>
  <c r="D164" i="30" s="1"/>
  <c r="A160" i="30"/>
  <c r="O159" i="30"/>
  <c r="A159" i="30"/>
  <c r="N158" i="30"/>
  <c r="M158" i="30"/>
  <c r="L158" i="30"/>
  <c r="J158" i="30"/>
  <c r="G158" i="30"/>
  <c r="F158" i="30"/>
  <c r="A158" i="30"/>
  <c r="C157" i="30"/>
  <c r="O157" i="30" s="1"/>
  <c r="A157" i="30"/>
  <c r="O156" i="30"/>
  <c r="J156" i="30"/>
  <c r="D156" i="30"/>
  <c r="A156" i="30"/>
  <c r="O155" i="30"/>
  <c r="I155" i="30"/>
  <c r="I158" i="30" s="1"/>
  <c r="F155" i="30"/>
  <c r="A155" i="30"/>
  <c r="O154" i="30"/>
  <c r="K154" i="30"/>
  <c r="K158" i="30" s="1"/>
  <c r="F154" i="30"/>
  <c r="E154" i="30"/>
  <c r="E158" i="30" s="1"/>
  <c r="A154" i="30"/>
  <c r="H153" i="30"/>
  <c r="O153" i="30" s="1"/>
  <c r="A153" i="30"/>
  <c r="D152" i="30"/>
  <c r="O152" i="30" s="1"/>
  <c r="C152" i="30"/>
  <c r="A152" i="30"/>
  <c r="O151" i="30"/>
  <c r="A151" i="30"/>
  <c r="A150" i="30"/>
  <c r="H149" i="30"/>
  <c r="G149" i="30"/>
  <c r="F149" i="30"/>
  <c r="E149" i="30"/>
  <c r="D149" i="30"/>
  <c r="A149" i="30"/>
  <c r="D148" i="30"/>
  <c r="O148" i="30" s="1"/>
  <c r="A148" i="30"/>
  <c r="D147" i="30"/>
  <c r="C147" i="30"/>
  <c r="O147" i="30" s="1"/>
  <c r="A147" i="30"/>
  <c r="K146" i="30"/>
  <c r="J146" i="30"/>
  <c r="I146" i="30"/>
  <c r="H146" i="30"/>
  <c r="G146" i="30"/>
  <c r="F146" i="30"/>
  <c r="E146" i="30"/>
  <c r="D146" i="30"/>
  <c r="C146" i="30"/>
  <c r="A146" i="30"/>
  <c r="K145" i="30"/>
  <c r="J145" i="30"/>
  <c r="I145" i="30"/>
  <c r="H145" i="30"/>
  <c r="G145" i="30"/>
  <c r="F145" i="30"/>
  <c r="E145" i="30"/>
  <c r="D145" i="30"/>
  <c r="C145" i="30"/>
  <c r="A145" i="30"/>
  <c r="J144" i="30"/>
  <c r="I144" i="30"/>
  <c r="H144" i="30"/>
  <c r="G144" i="30"/>
  <c r="F144" i="30"/>
  <c r="E144" i="30"/>
  <c r="D144" i="30"/>
  <c r="C144" i="30"/>
  <c r="O144" i="30" s="1"/>
  <c r="A144" i="30"/>
  <c r="J143" i="30"/>
  <c r="I143" i="30"/>
  <c r="H143" i="30"/>
  <c r="G143" i="30"/>
  <c r="F143" i="30"/>
  <c r="E143" i="30"/>
  <c r="D143" i="30"/>
  <c r="C143" i="30"/>
  <c r="A143" i="30"/>
  <c r="F142" i="30"/>
  <c r="O142" i="30" s="1"/>
  <c r="A142" i="30"/>
  <c r="D141" i="30"/>
  <c r="O141" i="30" s="1"/>
  <c r="A141" i="30"/>
  <c r="J140" i="30"/>
  <c r="I140" i="30"/>
  <c r="H140" i="30"/>
  <c r="G140" i="30"/>
  <c r="F140" i="30"/>
  <c r="E140" i="30"/>
  <c r="D140" i="30"/>
  <c r="C140" i="30"/>
  <c r="A140" i="30"/>
  <c r="K139" i="30"/>
  <c r="J139" i="30"/>
  <c r="I139" i="30"/>
  <c r="H139" i="30"/>
  <c r="G139" i="30"/>
  <c r="E139" i="30"/>
  <c r="D139" i="30"/>
  <c r="C139" i="30"/>
  <c r="O139" i="30" s="1"/>
  <c r="A139" i="30"/>
  <c r="C138" i="30"/>
  <c r="O138" i="30" s="1"/>
  <c r="A138" i="30"/>
  <c r="J137" i="30"/>
  <c r="I137" i="30"/>
  <c r="H137" i="30"/>
  <c r="G137" i="30"/>
  <c r="F137" i="30"/>
  <c r="E137" i="30"/>
  <c r="D137" i="30"/>
  <c r="C137" i="30"/>
  <c r="O137" i="30" s="1"/>
  <c r="A137" i="30"/>
  <c r="N136" i="30"/>
  <c r="M136" i="30"/>
  <c r="L136" i="30"/>
  <c r="K136" i="30"/>
  <c r="J136" i="30"/>
  <c r="I136" i="30"/>
  <c r="H136" i="30"/>
  <c r="F136" i="30"/>
  <c r="C136" i="30"/>
  <c r="A136" i="30"/>
  <c r="D135" i="30"/>
  <c r="O135" i="30" s="1"/>
  <c r="A135" i="30"/>
  <c r="G134" i="30"/>
  <c r="O134" i="30" s="1"/>
  <c r="E134" i="30"/>
  <c r="E136" i="30" s="1"/>
  <c r="D134" i="30"/>
  <c r="A134" i="30"/>
  <c r="D133" i="30"/>
  <c r="O133" i="30" s="1"/>
  <c r="A133" i="30"/>
  <c r="G132" i="30"/>
  <c r="D132" i="30"/>
  <c r="A132" i="30"/>
  <c r="O131" i="30"/>
  <c r="A131" i="30"/>
  <c r="N130" i="30"/>
  <c r="N150" i="30" s="1"/>
  <c r="M130" i="30"/>
  <c r="L130" i="30"/>
  <c r="K130" i="30"/>
  <c r="K150" i="30" s="1"/>
  <c r="I130" i="30"/>
  <c r="I150" i="30" s="1"/>
  <c r="C130" i="30"/>
  <c r="A130" i="30"/>
  <c r="G129" i="30"/>
  <c r="D129" i="30"/>
  <c r="O129" i="30" s="1"/>
  <c r="A129" i="30"/>
  <c r="K128" i="30"/>
  <c r="J128" i="30"/>
  <c r="J130" i="30" s="1"/>
  <c r="I128" i="30"/>
  <c r="H128" i="30"/>
  <c r="H130" i="30" s="1"/>
  <c r="H150" i="30" s="1"/>
  <c r="G128" i="30"/>
  <c r="G130" i="30" s="1"/>
  <c r="F128" i="30"/>
  <c r="F130" i="30" s="1"/>
  <c r="E128" i="30"/>
  <c r="E130" i="30" s="1"/>
  <c r="D128" i="30"/>
  <c r="D130" i="30" s="1"/>
  <c r="C128" i="30"/>
  <c r="A128" i="30"/>
  <c r="O127" i="30"/>
  <c r="A127" i="30"/>
  <c r="O126" i="30"/>
  <c r="A126" i="30"/>
  <c r="A125" i="30"/>
  <c r="I124" i="30"/>
  <c r="H124" i="30"/>
  <c r="G124" i="30"/>
  <c r="F124" i="30"/>
  <c r="E124" i="30"/>
  <c r="D124" i="30"/>
  <c r="C124" i="30"/>
  <c r="A124" i="30"/>
  <c r="I123" i="30"/>
  <c r="H123" i="30"/>
  <c r="G123" i="30"/>
  <c r="F123" i="30"/>
  <c r="E123" i="30"/>
  <c r="D123" i="30"/>
  <c r="C123" i="30"/>
  <c r="A123" i="30"/>
  <c r="G122" i="30"/>
  <c r="F122" i="30"/>
  <c r="E122" i="30"/>
  <c r="D122" i="30"/>
  <c r="C122" i="30"/>
  <c r="O122" i="30" s="1"/>
  <c r="A122" i="30"/>
  <c r="I121" i="30"/>
  <c r="H121" i="30"/>
  <c r="G121" i="30"/>
  <c r="F121" i="30"/>
  <c r="E121" i="30"/>
  <c r="D121" i="30"/>
  <c r="C121" i="30"/>
  <c r="A121" i="30"/>
  <c r="I120" i="30"/>
  <c r="H120" i="30"/>
  <c r="G120" i="30"/>
  <c r="F120" i="30"/>
  <c r="E120" i="30"/>
  <c r="D120" i="30"/>
  <c r="C120" i="30"/>
  <c r="O120" i="30" s="1"/>
  <c r="A120" i="30"/>
  <c r="J119" i="30"/>
  <c r="I119" i="30"/>
  <c r="H119" i="30"/>
  <c r="G119" i="30"/>
  <c r="F119" i="30"/>
  <c r="E119" i="30"/>
  <c r="D119" i="30"/>
  <c r="C119" i="30"/>
  <c r="A119" i="30"/>
  <c r="J118" i="30"/>
  <c r="I118" i="30"/>
  <c r="H118" i="30"/>
  <c r="G118" i="30"/>
  <c r="F118" i="30"/>
  <c r="E118" i="30"/>
  <c r="D118" i="30"/>
  <c r="C118" i="30"/>
  <c r="A118" i="30"/>
  <c r="N117" i="30"/>
  <c r="M117" i="30"/>
  <c r="L117" i="30"/>
  <c r="K117" i="30"/>
  <c r="J117" i="30"/>
  <c r="G117" i="30"/>
  <c r="D117" i="30"/>
  <c r="C117" i="30"/>
  <c r="A117" i="30"/>
  <c r="I116" i="30"/>
  <c r="I117" i="30" s="1"/>
  <c r="H116" i="30"/>
  <c r="H117" i="30" s="1"/>
  <c r="G116" i="30"/>
  <c r="F116" i="30"/>
  <c r="F117" i="30" s="1"/>
  <c r="E116" i="30"/>
  <c r="E117" i="30" s="1"/>
  <c r="O117" i="30" s="1"/>
  <c r="A116" i="30"/>
  <c r="O115" i="30"/>
  <c r="A115" i="30"/>
  <c r="N114" i="30"/>
  <c r="N125" i="30" s="1"/>
  <c r="M114" i="30"/>
  <c r="M125" i="30" s="1"/>
  <c r="L114" i="30"/>
  <c r="K114" i="30"/>
  <c r="J114" i="30"/>
  <c r="J125" i="30" s="1"/>
  <c r="A114" i="30"/>
  <c r="J113" i="30"/>
  <c r="I113" i="30"/>
  <c r="H113" i="30"/>
  <c r="G113" i="30"/>
  <c r="F113" i="30"/>
  <c r="E113" i="30"/>
  <c r="D113" i="30"/>
  <c r="C113" i="30"/>
  <c r="A113" i="30"/>
  <c r="I112" i="30"/>
  <c r="H112" i="30"/>
  <c r="G112" i="30"/>
  <c r="F112" i="30"/>
  <c r="E112" i="30"/>
  <c r="D112" i="30"/>
  <c r="C112" i="30"/>
  <c r="A112" i="30"/>
  <c r="I111" i="30"/>
  <c r="H111" i="30"/>
  <c r="G111" i="30"/>
  <c r="F111" i="30"/>
  <c r="E111" i="30"/>
  <c r="D111" i="30"/>
  <c r="C111" i="30"/>
  <c r="A111" i="30"/>
  <c r="J110" i="30"/>
  <c r="I110" i="30"/>
  <c r="H110" i="30"/>
  <c r="G110" i="30"/>
  <c r="F110" i="30"/>
  <c r="E110" i="30"/>
  <c r="D110" i="30"/>
  <c r="C110" i="30"/>
  <c r="A110" i="30"/>
  <c r="O109" i="30"/>
  <c r="A109" i="30"/>
  <c r="O108" i="30"/>
  <c r="A108" i="30"/>
  <c r="N107" i="30"/>
  <c r="M107" i="30"/>
  <c r="L107" i="30"/>
  <c r="A107" i="30"/>
  <c r="F106" i="30"/>
  <c r="O106" i="30" s="1"/>
  <c r="A106" i="30"/>
  <c r="I105" i="30"/>
  <c r="H105" i="30"/>
  <c r="G105" i="30"/>
  <c r="F105" i="30"/>
  <c r="E105" i="30"/>
  <c r="D105" i="30"/>
  <c r="C105" i="30"/>
  <c r="A105" i="30"/>
  <c r="K104" i="30"/>
  <c r="K107" i="30" s="1"/>
  <c r="J104" i="30"/>
  <c r="I104" i="30"/>
  <c r="H104" i="30"/>
  <c r="G104" i="30"/>
  <c r="F104" i="30"/>
  <c r="E104" i="30"/>
  <c r="D104" i="30"/>
  <c r="C104" i="30"/>
  <c r="A104" i="30"/>
  <c r="J103" i="30"/>
  <c r="I103" i="30"/>
  <c r="H103" i="30"/>
  <c r="G103" i="30"/>
  <c r="F103" i="30"/>
  <c r="E103" i="30"/>
  <c r="D103" i="30"/>
  <c r="C103" i="30"/>
  <c r="O103" i="30" s="1"/>
  <c r="A103" i="30"/>
  <c r="J102" i="30"/>
  <c r="I102" i="30"/>
  <c r="H102" i="30"/>
  <c r="G102" i="30"/>
  <c r="F102" i="30"/>
  <c r="E102" i="30"/>
  <c r="D102" i="30"/>
  <c r="C102" i="30"/>
  <c r="A102" i="30"/>
  <c r="J101" i="30"/>
  <c r="I101" i="30"/>
  <c r="H101" i="30"/>
  <c r="G101" i="30"/>
  <c r="F101" i="30"/>
  <c r="O101" i="30" s="1"/>
  <c r="E101" i="30"/>
  <c r="D101" i="30"/>
  <c r="A101" i="30"/>
  <c r="O100" i="30"/>
  <c r="A100" i="30"/>
  <c r="N99" i="30"/>
  <c r="M99" i="30"/>
  <c r="L99" i="30"/>
  <c r="A99" i="30"/>
  <c r="J98" i="30"/>
  <c r="I98" i="30"/>
  <c r="I99" i="30" s="1"/>
  <c r="H98" i="30"/>
  <c r="G98" i="30"/>
  <c r="F98" i="30"/>
  <c r="E98" i="30"/>
  <c r="D98" i="30"/>
  <c r="C98" i="30"/>
  <c r="A98" i="30"/>
  <c r="K97" i="30"/>
  <c r="K99" i="30" s="1"/>
  <c r="J97" i="30"/>
  <c r="H97" i="30"/>
  <c r="G97" i="30"/>
  <c r="F97" i="30"/>
  <c r="E97" i="30"/>
  <c r="D97" i="30"/>
  <c r="A97" i="30"/>
  <c r="J96" i="30"/>
  <c r="J99" i="30" s="1"/>
  <c r="H96" i="30"/>
  <c r="G96" i="30"/>
  <c r="F96" i="30"/>
  <c r="E96" i="30"/>
  <c r="D96" i="30"/>
  <c r="C96" i="30"/>
  <c r="C99" i="30" s="1"/>
  <c r="A96" i="30"/>
  <c r="F95" i="30"/>
  <c r="E95" i="30"/>
  <c r="E99" i="30" s="1"/>
  <c r="D95" i="30"/>
  <c r="A95" i="30"/>
  <c r="O94" i="30"/>
  <c r="A94" i="30"/>
  <c r="N93" i="30"/>
  <c r="M93" i="30"/>
  <c r="L93" i="30"/>
  <c r="A93" i="30"/>
  <c r="J92" i="30"/>
  <c r="H92" i="30"/>
  <c r="F92" i="30"/>
  <c r="E92" i="30"/>
  <c r="O92" i="30" s="1"/>
  <c r="D92" i="30"/>
  <c r="A92" i="30"/>
  <c r="I91" i="30"/>
  <c r="O91" i="30" s="1"/>
  <c r="A91" i="30"/>
  <c r="G90" i="30"/>
  <c r="E90" i="30"/>
  <c r="O90" i="30" s="1"/>
  <c r="A90" i="30"/>
  <c r="I89" i="30"/>
  <c r="H89" i="30"/>
  <c r="G89" i="30"/>
  <c r="F89" i="30"/>
  <c r="O89" i="30" s="1"/>
  <c r="D89" i="30"/>
  <c r="A89" i="30"/>
  <c r="J88" i="30"/>
  <c r="H88" i="30"/>
  <c r="G88" i="30"/>
  <c r="F88" i="30"/>
  <c r="E88" i="30"/>
  <c r="D88" i="30"/>
  <c r="C88" i="30"/>
  <c r="A88" i="30"/>
  <c r="K87" i="30"/>
  <c r="K93" i="30" s="1"/>
  <c r="J87" i="30"/>
  <c r="I87" i="30"/>
  <c r="G87" i="30"/>
  <c r="C87" i="30"/>
  <c r="A87" i="30"/>
  <c r="J86" i="30"/>
  <c r="I86" i="30"/>
  <c r="G86" i="30"/>
  <c r="F86" i="30"/>
  <c r="E86" i="30"/>
  <c r="C86" i="30"/>
  <c r="A86" i="30"/>
  <c r="G85" i="30"/>
  <c r="F85" i="30"/>
  <c r="E85" i="30"/>
  <c r="D85" i="30"/>
  <c r="A85" i="30"/>
  <c r="J84" i="30"/>
  <c r="I84" i="30"/>
  <c r="H84" i="30"/>
  <c r="G84" i="30"/>
  <c r="F84" i="30"/>
  <c r="E84" i="30"/>
  <c r="D84" i="30"/>
  <c r="C84" i="30"/>
  <c r="A84" i="30"/>
  <c r="O83" i="30"/>
  <c r="A83" i="30"/>
  <c r="N82" i="30"/>
  <c r="M82" i="30"/>
  <c r="L82" i="30"/>
  <c r="K82" i="30"/>
  <c r="J82" i="30"/>
  <c r="I82" i="30"/>
  <c r="H82" i="30"/>
  <c r="F82" i="30"/>
  <c r="E82" i="30"/>
  <c r="D82" i="30"/>
  <c r="C82" i="30"/>
  <c r="A82" i="30"/>
  <c r="G81" i="30"/>
  <c r="A81" i="30"/>
  <c r="O80" i="30"/>
  <c r="A80" i="30"/>
  <c r="N79" i="30"/>
  <c r="M79" i="30"/>
  <c r="L79" i="30"/>
  <c r="K79" i="30"/>
  <c r="C79" i="30"/>
  <c r="A79" i="30"/>
  <c r="J78" i="30"/>
  <c r="I78" i="30"/>
  <c r="H78" i="30"/>
  <c r="G78" i="30"/>
  <c r="F78" i="30"/>
  <c r="E78" i="30"/>
  <c r="D78" i="30"/>
  <c r="C78" i="30"/>
  <c r="A78" i="30"/>
  <c r="J77" i="30"/>
  <c r="I77" i="30"/>
  <c r="H77" i="30"/>
  <c r="G77" i="30"/>
  <c r="F77" i="30"/>
  <c r="D77" i="30"/>
  <c r="C77" i="30"/>
  <c r="A77" i="30"/>
  <c r="J76" i="30"/>
  <c r="J79" i="30" s="1"/>
  <c r="I76" i="30"/>
  <c r="H76" i="30"/>
  <c r="G76" i="30"/>
  <c r="F76" i="30"/>
  <c r="F79" i="30" s="1"/>
  <c r="E76" i="30"/>
  <c r="D76" i="30"/>
  <c r="C76" i="30"/>
  <c r="A76" i="30"/>
  <c r="O75" i="30"/>
  <c r="A75" i="30"/>
  <c r="N74" i="30"/>
  <c r="M74" i="30"/>
  <c r="L74" i="30"/>
  <c r="A74" i="30"/>
  <c r="H73" i="30"/>
  <c r="E73" i="30"/>
  <c r="A73" i="30"/>
  <c r="J72" i="30"/>
  <c r="I72" i="30"/>
  <c r="H72" i="30"/>
  <c r="G72" i="30"/>
  <c r="F72" i="30"/>
  <c r="E72" i="30"/>
  <c r="D72" i="30"/>
  <c r="C72" i="30"/>
  <c r="A72" i="30"/>
  <c r="E71" i="30"/>
  <c r="O71" i="30" s="1"/>
  <c r="A71" i="30"/>
  <c r="K70" i="30"/>
  <c r="K74" i="30" s="1"/>
  <c r="J70" i="30"/>
  <c r="I70" i="30"/>
  <c r="H70" i="30"/>
  <c r="G70" i="30"/>
  <c r="E70" i="30"/>
  <c r="D70" i="30"/>
  <c r="C70" i="30"/>
  <c r="O70" i="30" s="1"/>
  <c r="A70" i="30"/>
  <c r="H69" i="30"/>
  <c r="D69" i="30"/>
  <c r="C69" i="30"/>
  <c r="A69" i="30"/>
  <c r="J68" i="30"/>
  <c r="I68" i="30"/>
  <c r="H68" i="30"/>
  <c r="G68" i="30"/>
  <c r="G74" i="30" s="1"/>
  <c r="F68" i="30"/>
  <c r="E68" i="30"/>
  <c r="D68" i="30"/>
  <c r="D74" i="30" s="1"/>
  <c r="C68" i="30"/>
  <c r="A68" i="30"/>
  <c r="O67" i="30"/>
  <c r="A67" i="30"/>
  <c r="N66" i="30"/>
  <c r="M66" i="30"/>
  <c r="L66" i="30"/>
  <c r="J66" i="30"/>
  <c r="F66" i="30"/>
  <c r="A66" i="30"/>
  <c r="C65" i="30"/>
  <c r="O65" i="30" s="1"/>
  <c r="A65" i="30"/>
  <c r="H64" i="30"/>
  <c r="O64" i="30" s="1"/>
  <c r="E64" i="30"/>
  <c r="C64" i="30"/>
  <c r="A64" i="30"/>
  <c r="K63" i="30"/>
  <c r="K66" i="30" s="1"/>
  <c r="J63" i="30"/>
  <c r="I63" i="30"/>
  <c r="I66" i="30" s="1"/>
  <c r="H63" i="30"/>
  <c r="G63" i="30"/>
  <c r="G66" i="30" s="1"/>
  <c r="F63" i="30"/>
  <c r="E63" i="30"/>
  <c r="E66" i="30" s="1"/>
  <c r="D63" i="30"/>
  <c r="D66" i="30" s="1"/>
  <c r="C63" i="30"/>
  <c r="O63" i="30" s="1"/>
  <c r="A63" i="30"/>
  <c r="O62" i="30"/>
  <c r="A62" i="30"/>
  <c r="A61" i="30"/>
  <c r="A60" i="30"/>
  <c r="A59" i="30"/>
  <c r="I58" i="30"/>
  <c r="O58" i="30" s="1"/>
  <c r="A58" i="30"/>
  <c r="H57" i="30"/>
  <c r="D57" i="30"/>
  <c r="A57" i="30"/>
  <c r="A56" i="30"/>
  <c r="N55" i="30"/>
  <c r="M55" i="30"/>
  <c r="L55" i="30"/>
  <c r="K55" i="30"/>
  <c r="J55" i="30"/>
  <c r="I55" i="30"/>
  <c r="G55" i="30"/>
  <c r="F55" i="30"/>
  <c r="A55" i="30"/>
  <c r="H54" i="30"/>
  <c r="H55" i="30" s="1"/>
  <c r="E54" i="30"/>
  <c r="A54" i="30"/>
  <c r="D53" i="30"/>
  <c r="D55" i="30" s="1"/>
  <c r="C53" i="30"/>
  <c r="O53" i="30" s="1"/>
  <c r="A53" i="30"/>
  <c r="O52" i="30"/>
  <c r="A52" i="30"/>
  <c r="N51" i="30"/>
  <c r="N56" i="30" s="1"/>
  <c r="M51" i="30"/>
  <c r="M56" i="30" s="1"/>
  <c r="L51" i="30"/>
  <c r="L56" i="30" s="1"/>
  <c r="K51" i="30"/>
  <c r="J51" i="30"/>
  <c r="J56" i="30" s="1"/>
  <c r="I51" i="30"/>
  <c r="I56" i="30" s="1"/>
  <c r="H51" i="30"/>
  <c r="G51" i="30"/>
  <c r="A51" i="30"/>
  <c r="C50" i="30"/>
  <c r="O50" i="30" s="1"/>
  <c r="A50" i="30"/>
  <c r="F49" i="30"/>
  <c r="F51" i="30" s="1"/>
  <c r="E49" i="30"/>
  <c r="O49" i="30" s="1"/>
  <c r="A49" i="30"/>
  <c r="E48" i="30"/>
  <c r="D48" i="30"/>
  <c r="D51" i="30" s="1"/>
  <c r="C48" i="30"/>
  <c r="O48" i="30" s="1"/>
  <c r="A48" i="30"/>
  <c r="O47" i="30"/>
  <c r="A47" i="30"/>
  <c r="O46" i="30"/>
  <c r="A46" i="30"/>
  <c r="N45" i="30"/>
  <c r="M45" i="30"/>
  <c r="L45" i="30"/>
  <c r="A45" i="30"/>
  <c r="K44" i="30"/>
  <c r="J44" i="30"/>
  <c r="I44" i="30"/>
  <c r="I45" i="30" s="1"/>
  <c r="H44" i="30"/>
  <c r="G44" i="30"/>
  <c r="F44" i="30"/>
  <c r="E44" i="30"/>
  <c r="D44" i="30"/>
  <c r="C44" i="30"/>
  <c r="A44" i="30"/>
  <c r="K43" i="30"/>
  <c r="K45" i="30" s="1"/>
  <c r="J43" i="30"/>
  <c r="I43" i="30"/>
  <c r="H43" i="30"/>
  <c r="G43" i="30"/>
  <c r="F43" i="30"/>
  <c r="E43" i="30"/>
  <c r="D43" i="30"/>
  <c r="C43" i="30"/>
  <c r="O43" i="30" s="1"/>
  <c r="A43" i="30"/>
  <c r="K42" i="30"/>
  <c r="J42" i="30"/>
  <c r="J45" i="30" s="1"/>
  <c r="H42" i="30"/>
  <c r="G42" i="30"/>
  <c r="F42" i="30"/>
  <c r="E42" i="30"/>
  <c r="D42" i="30"/>
  <c r="C42" i="30"/>
  <c r="A42" i="30"/>
  <c r="O41" i="30"/>
  <c r="A41" i="30"/>
  <c r="A40" i="30"/>
  <c r="N39" i="30"/>
  <c r="M39" i="30"/>
  <c r="L39" i="30"/>
  <c r="A39" i="30"/>
  <c r="K38" i="30"/>
  <c r="F38" i="30"/>
  <c r="O38" i="30" s="1"/>
  <c r="A38" i="30"/>
  <c r="J37" i="30"/>
  <c r="I37" i="30"/>
  <c r="H37" i="30"/>
  <c r="E37" i="30"/>
  <c r="D37" i="30"/>
  <c r="C37" i="30"/>
  <c r="A37" i="30"/>
  <c r="J36" i="30"/>
  <c r="I36" i="30"/>
  <c r="H36" i="30"/>
  <c r="G36" i="30"/>
  <c r="F36" i="30"/>
  <c r="E36" i="30"/>
  <c r="E39" i="30" s="1"/>
  <c r="D36" i="30"/>
  <c r="C36" i="30"/>
  <c r="A36" i="30"/>
  <c r="K35" i="30"/>
  <c r="K39" i="30" s="1"/>
  <c r="J35" i="30"/>
  <c r="I35" i="30"/>
  <c r="H35" i="30"/>
  <c r="H39" i="30" s="1"/>
  <c r="G35" i="30"/>
  <c r="G39" i="30" s="1"/>
  <c r="F35" i="30"/>
  <c r="E35" i="30"/>
  <c r="A35" i="30"/>
  <c r="O34" i="30"/>
  <c r="A34" i="30"/>
  <c r="N33" i="30"/>
  <c r="M33" i="30"/>
  <c r="L33" i="30"/>
  <c r="L40" i="30" s="1"/>
  <c r="A33" i="30"/>
  <c r="J32" i="30"/>
  <c r="G32" i="30"/>
  <c r="F32" i="30"/>
  <c r="E32" i="30"/>
  <c r="D32" i="30"/>
  <c r="O32" i="30" s="1"/>
  <c r="C32" i="30"/>
  <c r="A32" i="30"/>
  <c r="K31" i="30"/>
  <c r="K33" i="30" s="1"/>
  <c r="K40" i="30" s="1"/>
  <c r="J31" i="30"/>
  <c r="I31" i="30"/>
  <c r="H31" i="30"/>
  <c r="G31" i="30"/>
  <c r="F31" i="30"/>
  <c r="E31" i="30"/>
  <c r="D31" i="30"/>
  <c r="C31" i="30"/>
  <c r="A31" i="30"/>
  <c r="J30" i="30"/>
  <c r="I30" i="30"/>
  <c r="I33" i="30" s="1"/>
  <c r="H30" i="30"/>
  <c r="H33" i="30" s="1"/>
  <c r="H40" i="30" s="1"/>
  <c r="G30" i="30"/>
  <c r="G33" i="30" s="1"/>
  <c r="F30" i="30"/>
  <c r="E30" i="30"/>
  <c r="A30" i="30"/>
  <c r="O29" i="30"/>
  <c r="A29" i="30"/>
  <c r="O28" i="30"/>
  <c r="A28" i="30"/>
  <c r="N27" i="30"/>
  <c r="M27" i="30"/>
  <c r="L27" i="30"/>
  <c r="A27" i="30"/>
  <c r="K26" i="30"/>
  <c r="I26" i="30"/>
  <c r="H26" i="30"/>
  <c r="G26" i="30"/>
  <c r="F26" i="30"/>
  <c r="C26" i="30"/>
  <c r="A26" i="30"/>
  <c r="I25" i="30"/>
  <c r="H25" i="30"/>
  <c r="F25" i="30"/>
  <c r="C25" i="30"/>
  <c r="A25" i="30"/>
  <c r="G24" i="30"/>
  <c r="F24" i="30"/>
  <c r="E24" i="30"/>
  <c r="D24" i="30"/>
  <c r="C24" i="30"/>
  <c r="A24" i="30"/>
  <c r="K23" i="30"/>
  <c r="J23" i="30"/>
  <c r="J27" i="30" s="1"/>
  <c r="I23" i="30"/>
  <c r="I27" i="30" s="1"/>
  <c r="H23" i="30"/>
  <c r="G23" i="30"/>
  <c r="F23" i="30"/>
  <c r="E23" i="30"/>
  <c r="E27" i="30" s="1"/>
  <c r="D23" i="30"/>
  <c r="C23" i="30"/>
  <c r="A23" i="30"/>
  <c r="O22" i="30"/>
  <c r="A22" i="30"/>
  <c r="N21" i="30"/>
  <c r="M21" i="30"/>
  <c r="L21" i="30"/>
  <c r="L59" i="30" s="1"/>
  <c r="L60" i="30" s="1"/>
  <c r="A21" i="30"/>
  <c r="F20" i="30"/>
  <c r="E20" i="30"/>
  <c r="D20" i="30"/>
  <c r="A20" i="30"/>
  <c r="K19" i="30"/>
  <c r="J19" i="30"/>
  <c r="I19" i="30"/>
  <c r="I21" i="30" s="1"/>
  <c r="H19" i="30"/>
  <c r="G19" i="30"/>
  <c r="F19" i="30"/>
  <c r="E19" i="30"/>
  <c r="E21" i="30" s="1"/>
  <c r="D19" i="30"/>
  <c r="C19" i="30"/>
  <c r="A19" i="30"/>
  <c r="K18" i="30"/>
  <c r="J18" i="30"/>
  <c r="I18" i="30"/>
  <c r="H18" i="30"/>
  <c r="H21" i="30" s="1"/>
  <c r="G18" i="30"/>
  <c r="F18" i="30"/>
  <c r="E18" i="30"/>
  <c r="D18" i="30"/>
  <c r="A18" i="30"/>
  <c r="O17" i="30"/>
  <c r="A17" i="30"/>
  <c r="N16" i="30"/>
  <c r="M16" i="30"/>
  <c r="L16" i="30"/>
  <c r="A16" i="30"/>
  <c r="K15" i="30"/>
  <c r="J15" i="30"/>
  <c r="I15" i="30"/>
  <c r="H15" i="30"/>
  <c r="G15" i="30"/>
  <c r="F15" i="30"/>
  <c r="E15" i="30"/>
  <c r="D15" i="30"/>
  <c r="C15" i="30"/>
  <c r="A15" i="30"/>
  <c r="J14" i="30"/>
  <c r="I14" i="30"/>
  <c r="H14" i="30"/>
  <c r="G14" i="30"/>
  <c r="A14" i="30"/>
  <c r="K13" i="30"/>
  <c r="J13" i="30"/>
  <c r="I13" i="30"/>
  <c r="H13" i="30"/>
  <c r="G13" i="30"/>
  <c r="F13" i="30"/>
  <c r="E13" i="30"/>
  <c r="D13" i="30"/>
  <c r="A13" i="30"/>
  <c r="K12" i="30"/>
  <c r="J12" i="30"/>
  <c r="I12" i="30"/>
  <c r="H12" i="30"/>
  <c r="G12" i="30"/>
  <c r="F12" i="30"/>
  <c r="E12" i="30"/>
  <c r="D12" i="30"/>
  <c r="C12" i="30"/>
  <c r="O12" i="30" s="1"/>
  <c r="A12" i="30"/>
  <c r="J11" i="30"/>
  <c r="I11" i="30"/>
  <c r="H11" i="30"/>
  <c r="G11" i="30"/>
  <c r="F11" i="30"/>
  <c r="E11" i="30"/>
  <c r="D11" i="30"/>
  <c r="C11" i="30"/>
  <c r="A11" i="30"/>
  <c r="K10" i="30"/>
  <c r="J10" i="30"/>
  <c r="I10" i="30"/>
  <c r="H10" i="30"/>
  <c r="G10" i="30"/>
  <c r="F10" i="30"/>
  <c r="E10" i="30"/>
  <c r="D10" i="30"/>
  <c r="C10" i="30"/>
  <c r="A10" i="30"/>
  <c r="K9" i="30"/>
  <c r="J9" i="30"/>
  <c r="I9" i="30"/>
  <c r="H9" i="30"/>
  <c r="G9" i="30"/>
  <c r="F9" i="30"/>
  <c r="E9" i="30"/>
  <c r="D9" i="30"/>
  <c r="C9" i="30"/>
  <c r="A9" i="30"/>
  <c r="K8" i="30"/>
  <c r="J8" i="30"/>
  <c r="I8" i="30"/>
  <c r="I16" i="30" s="1"/>
  <c r="H8" i="30"/>
  <c r="G8" i="30"/>
  <c r="F8" i="30"/>
  <c r="F16" i="30" s="1"/>
  <c r="E8" i="30"/>
  <c r="D8" i="30"/>
  <c r="C8" i="30"/>
  <c r="A8" i="30"/>
  <c r="O7" i="30"/>
  <c r="A7" i="30"/>
  <c r="A6" i="30"/>
  <c r="G93" i="30" l="1"/>
  <c r="L39" i="31"/>
  <c r="F27" i="30"/>
  <c r="O24" i="30"/>
  <c r="E45" i="30"/>
  <c r="H74" i="30"/>
  <c r="D93" i="30"/>
  <c r="O96" i="30"/>
  <c r="F99" i="30"/>
  <c r="O15" i="30"/>
  <c r="O69" i="30"/>
  <c r="I74" i="30"/>
  <c r="O73" i="30"/>
  <c r="D107" i="30"/>
  <c r="H107" i="30"/>
  <c r="G136" i="30"/>
  <c r="K26" i="31"/>
  <c r="O84" i="30"/>
  <c r="C93" i="30"/>
  <c r="D181" i="30"/>
  <c r="D182" i="30" s="1"/>
  <c r="H39" i="31"/>
  <c r="O20" i="30"/>
  <c r="O31" i="30"/>
  <c r="E79" i="30"/>
  <c r="D136" i="30"/>
  <c r="D150" i="30" s="1"/>
  <c r="O132" i="30"/>
  <c r="E16" i="30"/>
  <c r="J33" i="30"/>
  <c r="M40" i="30"/>
  <c r="O57" i="30"/>
  <c r="H66" i="30"/>
  <c r="J107" i="30"/>
  <c r="G150" i="30"/>
  <c r="H93" i="30"/>
  <c r="G99" i="30"/>
  <c r="O98" i="30"/>
  <c r="O104" i="30"/>
  <c r="O121" i="30"/>
  <c r="O145" i="30"/>
  <c r="I164" i="30"/>
  <c r="O186" i="30"/>
  <c r="C26" i="31"/>
  <c r="G26" i="31"/>
  <c r="D16" i="30"/>
  <c r="H16" i="30"/>
  <c r="O10" i="30"/>
  <c r="O13" i="30"/>
  <c r="O19" i="30"/>
  <c r="G21" i="30"/>
  <c r="K21" i="30"/>
  <c r="O23" i="30"/>
  <c r="G27" i="30"/>
  <c r="K27" i="30"/>
  <c r="O25" i="30"/>
  <c r="E33" i="30"/>
  <c r="E40" i="30" s="1"/>
  <c r="F33" i="30"/>
  <c r="F40" i="30" s="1"/>
  <c r="F59" i="30" s="1"/>
  <c r="F60" i="30" s="1"/>
  <c r="N40" i="30"/>
  <c r="N59" i="30" s="1"/>
  <c r="N60" i="30" s="1"/>
  <c r="O36" i="30"/>
  <c r="F45" i="30"/>
  <c r="F56" i="30"/>
  <c r="E74" i="30"/>
  <c r="O76" i="30"/>
  <c r="G79" i="30"/>
  <c r="E93" i="30"/>
  <c r="O87" i="30"/>
  <c r="H99" i="30"/>
  <c r="F107" i="30"/>
  <c r="O110" i="30"/>
  <c r="F114" i="30"/>
  <c r="F125" i="30" s="1"/>
  <c r="L125" i="30"/>
  <c r="O124" i="30"/>
  <c r="L150" i="30"/>
  <c r="L183" i="30" s="1"/>
  <c r="L184" i="30" s="1"/>
  <c r="L190" i="30" s="1"/>
  <c r="D158" i="30"/>
  <c r="F164" i="30"/>
  <c r="J164" i="30"/>
  <c r="H172" i="30"/>
  <c r="I182" i="30"/>
  <c r="E16" i="31"/>
  <c r="I16" i="31"/>
  <c r="M16" i="31"/>
  <c r="M56" i="31" s="1"/>
  <c r="M57" i="31" s="1"/>
  <c r="I39" i="31"/>
  <c r="E44" i="31"/>
  <c r="O53" i="31"/>
  <c r="E74" i="31"/>
  <c r="I74" i="31"/>
  <c r="M74" i="31"/>
  <c r="C101" i="31"/>
  <c r="G101" i="31"/>
  <c r="O101" i="31" s="1"/>
  <c r="K101" i="31"/>
  <c r="O103" i="31"/>
  <c r="F108" i="31"/>
  <c r="N108" i="31"/>
  <c r="O107" i="31"/>
  <c r="D115" i="31"/>
  <c r="H115" i="31"/>
  <c r="L115" i="31"/>
  <c r="O112" i="31"/>
  <c r="E120" i="31"/>
  <c r="I120" i="31"/>
  <c r="M120" i="31"/>
  <c r="O97" i="30"/>
  <c r="G107" i="30"/>
  <c r="E39" i="31"/>
  <c r="E56" i="31" s="1"/>
  <c r="E57" i="31" s="1"/>
  <c r="O42" i="31"/>
  <c r="F21" i="30"/>
  <c r="J21" i="30"/>
  <c r="D27" i="30"/>
  <c r="H27" i="30"/>
  <c r="O26" i="30"/>
  <c r="F39" i="30"/>
  <c r="J39" i="30"/>
  <c r="D39" i="30"/>
  <c r="O37" i="30"/>
  <c r="C45" i="30"/>
  <c r="G45" i="30"/>
  <c r="O44" i="30"/>
  <c r="E51" i="30"/>
  <c r="G56" i="30"/>
  <c r="K56" i="30"/>
  <c r="C74" i="30"/>
  <c r="D79" i="30"/>
  <c r="H79" i="30"/>
  <c r="F93" i="30"/>
  <c r="O86" i="30"/>
  <c r="D114" i="30"/>
  <c r="H114" i="30"/>
  <c r="C114" i="30"/>
  <c r="C125" i="30" s="1"/>
  <c r="G114" i="30"/>
  <c r="G125" i="30" s="1"/>
  <c r="O119" i="30"/>
  <c r="O123" i="30"/>
  <c r="M150" i="30"/>
  <c r="M183" i="30" s="1"/>
  <c r="E150" i="30"/>
  <c r="O143" i="30"/>
  <c r="O149" i="30"/>
  <c r="C158" i="30"/>
  <c r="G164" i="30"/>
  <c r="O162" i="30"/>
  <c r="L182" i="30"/>
  <c r="F16" i="31"/>
  <c r="N16" i="31"/>
  <c r="C32" i="31"/>
  <c r="G32" i="31"/>
  <c r="G39" i="31" s="1"/>
  <c r="K32" i="31"/>
  <c r="K39" i="31" s="1"/>
  <c r="D50" i="31"/>
  <c r="D55" i="31" s="1"/>
  <c r="H50" i="31"/>
  <c r="H55" i="31" s="1"/>
  <c r="L50" i="31"/>
  <c r="L55" i="31" s="1"/>
  <c r="O48" i="31"/>
  <c r="O64" i="31"/>
  <c r="E128" i="31"/>
  <c r="I128" i="31"/>
  <c r="M128" i="31"/>
  <c r="O139" i="31"/>
  <c r="O143" i="31"/>
  <c r="O147" i="31"/>
  <c r="D162" i="31"/>
  <c r="H162" i="31"/>
  <c r="L162" i="31"/>
  <c r="O158" i="31"/>
  <c r="K162" i="31"/>
  <c r="D167" i="31"/>
  <c r="O165" i="31"/>
  <c r="D175" i="31"/>
  <c r="H175" i="31"/>
  <c r="L175" i="31"/>
  <c r="O170" i="31"/>
  <c r="O174" i="31"/>
  <c r="O185" i="31"/>
  <c r="O31" i="31"/>
  <c r="D38" i="31"/>
  <c r="D39" i="31" s="1"/>
  <c r="H38" i="31"/>
  <c r="L38" i="31"/>
  <c r="O35" i="31"/>
  <c r="O43" i="31"/>
  <c r="F50" i="31"/>
  <c r="J50" i="31"/>
  <c r="N50" i="31"/>
  <c r="N55" i="31" s="1"/>
  <c r="O71" i="31"/>
  <c r="E79" i="31"/>
  <c r="I79" i="31"/>
  <c r="M79" i="31"/>
  <c r="O79" i="31" s="1"/>
  <c r="D79" i="31"/>
  <c r="L79" i="31"/>
  <c r="O78" i="31"/>
  <c r="F94" i="31"/>
  <c r="J94" i="31"/>
  <c r="N94" i="31"/>
  <c r="E101" i="31"/>
  <c r="I101" i="31"/>
  <c r="M101" i="31"/>
  <c r="E108" i="31"/>
  <c r="I108" i="31"/>
  <c r="M108" i="31"/>
  <c r="O105" i="31"/>
  <c r="F115" i="31"/>
  <c r="J115" i="31"/>
  <c r="J128" i="31" s="1"/>
  <c r="N115" i="31"/>
  <c r="O114" i="31"/>
  <c r="J120" i="31"/>
  <c r="O123" i="31"/>
  <c r="O127" i="31"/>
  <c r="O132" i="31"/>
  <c r="J138" i="31"/>
  <c r="O141" i="31"/>
  <c r="O145" i="31"/>
  <c r="O149" i="31"/>
  <c r="O160" i="31"/>
  <c r="I167" i="31"/>
  <c r="M167" i="31"/>
  <c r="F175" i="31"/>
  <c r="J175" i="31"/>
  <c r="N175" i="31"/>
  <c r="O172" i="31"/>
  <c r="M182" i="30"/>
  <c r="F181" i="30"/>
  <c r="F182" i="30" s="1"/>
  <c r="C16" i="31"/>
  <c r="G16" i="31"/>
  <c r="K16" i="31"/>
  <c r="O12" i="31"/>
  <c r="C20" i="31"/>
  <c r="G20" i="31"/>
  <c r="K20" i="31"/>
  <c r="E26" i="31"/>
  <c r="I26" i="31"/>
  <c r="I56" i="31" s="1"/>
  <c r="I57" i="31" s="1"/>
  <c r="O24" i="31"/>
  <c r="F32" i="31"/>
  <c r="F39" i="31" s="1"/>
  <c r="J32" i="31"/>
  <c r="J39" i="31" s="1"/>
  <c r="N32" i="31"/>
  <c r="N39" i="31" s="1"/>
  <c r="O36" i="31"/>
  <c r="F44" i="31"/>
  <c r="J44" i="31"/>
  <c r="N44" i="31"/>
  <c r="C50" i="31"/>
  <c r="G50" i="31"/>
  <c r="G55" i="31" s="1"/>
  <c r="K50" i="31"/>
  <c r="K55" i="31" s="1"/>
  <c r="F54" i="31"/>
  <c r="O54" i="31" s="1"/>
  <c r="J54" i="31"/>
  <c r="N54" i="31"/>
  <c r="E66" i="31"/>
  <c r="I66" i="31"/>
  <c r="O66" i="31" s="1"/>
  <c r="M66" i="31"/>
  <c r="D66" i="31"/>
  <c r="L66" i="31"/>
  <c r="O62" i="31"/>
  <c r="C74" i="31"/>
  <c r="G74" i="31"/>
  <c r="K74" i="31"/>
  <c r="O81" i="31"/>
  <c r="C94" i="31"/>
  <c r="G94" i="31"/>
  <c r="K94" i="31"/>
  <c r="H94" i="31"/>
  <c r="O88" i="31"/>
  <c r="O92" i="31"/>
  <c r="O99" i="31"/>
  <c r="C115" i="31"/>
  <c r="O115" i="31" s="1"/>
  <c r="G115" i="31"/>
  <c r="K115" i="31"/>
  <c r="C120" i="31"/>
  <c r="G120" i="31"/>
  <c r="G128" i="31" s="1"/>
  <c r="G188" i="31" s="1"/>
  <c r="K120" i="31"/>
  <c r="E133" i="31"/>
  <c r="E151" i="31" s="1"/>
  <c r="I133" i="31"/>
  <c r="I151" i="31" s="1"/>
  <c r="M133" i="31"/>
  <c r="M151" i="31" s="1"/>
  <c r="D138" i="31"/>
  <c r="H138" i="31"/>
  <c r="L138" i="31"/>
  <c r="L151" i="31" s="1"/>
  <c r="C138" i="31"/>
  <c r="C151" i="31" s="1"/>
  <c r="O151" i="31" s="1"/>
  <c r="G138" i="31"/>
  <c r="K138" i="31"/>
  <c r="O153" i="31"/>
  <c r="G162" i="31"/>
  <c r="C167" i="31"/>
  <c r="G167" i="31"/>
  <c r="K167" i="31"/>
  <c r="E175" i="31"/>
  <c r="O173" i="31"/>
  <c r="F186" i="31"/>
  <c r="F187" i="31" s="1"/>
  <c r="J186" i="31"/>
  <c r="J187" i="31" s="1"/>
  <c r="N186" i="31"/>
  <c r="N187" i="31" s="1"/>
  <c r="O184" i="31"/>
  <c r="P85" i="24"/>
  <c r="P78" i="24"/>
  <c r="P125" i="24"/>
  <c r="P147" i="24"/>
  <c r="P151" i="24"/>
  <c r="P154" i="24"/>
  <c r="P158" i="24"/>
  <c r="P84" i="24"/>
  <c r="P88" i="24"/>
  <c r="P124" i="24"/>
  <c r="P150" i="24"/>
  <c r="P157" i="24"/>
  <c r="P87" i="24"/>
  <c r="P123" i="24"/>
  <c r="P149" i="24"/>
  <c r="P153" i="24"/>
  <c r="P156" i="24"/>
  <c r="P79" i="24"/>
  <c r="P86" i="24"/>
  <c r="P122" i="24"/>
  <c r="P148" i="24"/>
  <c r="P152" i="24"/>
  <c r="P179" i="24"/>
  <c r="P56" i="24"/>
  <c r="P23" i="24"/>
  <c r="P171" i="24"/>
  <c r="P33" i="24"/>
  <c r="P197" i="24"/>
  <c r="P92" i="24"/>
  <c r="P121" i="24"/>
  <c r="P100" i="24"/>
  <c r="P145" i="24"/>
  <c r="P185" i="24"/>
  <c r="P83" i="24"/>
  <c r="P113" i="24"/>
  <c r="N183" i="30"/>
  <c r="N184" i="30" s="1"/>
  <c r="N190" i="30" s="1"/>
  <c r="O128" i="30"/>
  <c r="O138" i="31"/>
  <c r="O111" i="30"/>
  <c r="O166" i="30"/>
  <c r="F172" i="30"/>
  <c r="C27" i="30"/>
  <c r="O27" i="30" s="1"/>
  <c r="H56" i="30"/>
  <c r="O72" i="30"/>
  <c r="O77" i="30"/>
  <c r="J93" i="30"/>
  <c r="D125" i="30"/>
  <c r="H125" i="30"/>
  <c r="K125" i="30"/>
  <c r="K183" i="30" s="1"/>
  <c r="E176" i="30"/>
  <c r="E182" i="30" s="1"/>
  <c r="O175" i="30"/>
  <c r="O179" i="30"/>
  <c r="D16" i="31"/>
  <c r="H16" i="31"/>
  <c r="L16" i="31"/>
  <c r="F162" i="31"/>
  <c r="C187" i="31"/>
  <c r="O179" i="31"/>
  <c r="O178" i="31"/>
  <c r="O182" i="31"/>
  <c r="C16" i="30"/>
  <c r="O9" i="30"/>
  <c r="G16" i="30"/>
  <c r="K16" i="30"/>
  <c r="M59" i="30"/>
  <c r="M60" i="30" s="1"/>
  <c r="C21" i="30"/>
  <c r="O35" i="30"/>
  <c r="I39" i="30"/>
  <c r="I40" i="30" s="1"/>
  <c r="I59" i="30" s="1"/>
  <c r="I60" i="30" s="1"/>
  <c r="D45" i="30"/>
  <c r="O45" i="30" s="1"/>
  <c r="H45" i="30"/>
  <c r="H59" i="30" s="1"/>
  <c r="H60" i="30" s="1"/>
  <c r="D56" i="30"/>
  <c r="C55" i="30"/>
  <c r="G82" i="30"/>
  <c r="G183" i="30" s="1"/>
  <c r="O81" i="30"/>
  <c r="O88" i="30"/>
  <c r="E107" i="30"/>
  <c r="I107" i="30"/>
  <c r="O102" i="30"/>
  <c r="O105" i="30"/>
  <c r="E114" i="30"/>
  <c r="E125" i="30" s="1"/>
  <c r="I114" i="30"/>
  <c r="I125" i="30" s="1"/>
  <c r="O112" i="30"/>
  <c r="O113" i="30"/>
  <c r="O118" i="30"/>
  <c r="F150" i="30"/>
  <c r="J150" i="30"/>
  <c r="C150" i="30"/>
  <c r="O164" i="30"/>
  <c r="G172" i="30"/>
  <c r="O168" i="30"/>
  <c r="H182" i="30"/>
  <c r="C181" i="30"/>
  <c r="O181" i="30" s="1"/>
  <c r="O178" i="30"/>
  <c r="O10" i="31"/>
  <c r="O14" i="31"/>
  <c r="C39" i="31"/>
  <c r="C55" i="31"/>
  <c r="F128" i="31"/>
  <c r="N128" i="31"/>
  <c r="J16" i="30"/>
  <c r="O11" i="30"/>
  <c r="O14" i="30"/>
  <c r="O18" i="30"/>
  <c r="G40" i="30"/>
  <c r="O30" i="30"/>
  <c r="C39" i="30"/>
  <c r="C51" i="30"/>
  <c r="E55" i="30"/>
  <c r="E56" i="30" s="1"/>
  <c r="E59" i="30" s="1"/>
  <c r="E60" i="30" s="1"/>
  <c r="O54" i="30"/>
  <c r="F183" i="30"/>
  <c r="F74" i="30"/>
  <c r="J74" i="30"/>
  <c r="I79" i="30"/>
  <c r="O79" i="30" s="1"/>
  <c r="O78" i="30"/>
  <c r="O85" i="30"/>
  <c r="O95" i="30"/>
  <c r="D99" i="30"/>
  <c r="O140" i="30"/>
  <c r="O146" i="30"/>
  <c r="C172" i="30"/>
  <c r="O167" i="30"/>
  <c r="O170" i="30"/>
  <c r="O180" i="30"/>
  <c r="C188" i="30"/>
  <c r="O11" i="31"/>
  <c r="O15" i="31"/>
  <c r="D20" i="31"/>
  <c r="H20" i="31"/>
  <c r="L20" i="31"/>
  <c r="O19" i="31"/>
  <c r="D26" i="31"/>
  <c r="H26" i="31"/>
  <c r="L26" i="31"/>
  <c r="O23" i="31"/>
  <c r="O38" i="31"/>
  <c r="F74" i="31"/>
  <c r="N74" i="31"/>
  <c r="H79" i="31"/>
  <c r="D94" i="31"/>
  <c r="L94" i="31"/>
  <c r="D151" i="31"/>
  <c r="H151" i="31"/>
  <c r="D21" i="30"/>
  <c r="C33" i="30"/>
  <c r="C66" i="30"/>
  <c r="O68" i="30"/>
  <c r="C107" i="30"/>
  <c r="O163" i="30"/>
  <c r="O8" i="31"/>
  <c r="O18" i="31"/>
  <c r="O22" i="31"/>
  <c r="O29" i="31"/>
  <c r="O34" i="31"/>
  <c r="C44" i="31"/>
  <c r="O47" i="31"/>
  <c r="O52" i="31"/>
  <c r="O61" i="31"/>
  <c r="O65" i="31"/>
  <c r="O70" i="31"/>
  <c r="O85" i="31"/>
  <c r="O89" i="31"/>
  <c r="O93" i="31"/>
  <c r="O98" i="31"/>
  <c r="O106" i="31"/>
  <c r="O113" i="31"/>
  <c r="O117" i="31"/>
  <c r="O122" i="31"/>
  <c r="O126" i="31"/>
  <c r="O137" i="31"/>
  <c r="O142" i="31"/>
  <c r="O146" i="31"/>
  <c r="O150" i="31"/>
  <c r="O154" i="31"/>
  <c r="I175" i="31"/>
  <c r="M175" i="31"/>
  <c r="O8" i="30"/>
  <c r="D33" i="30"/>
  <c r="D40" i="30" s="1"/>
  <c r="O42" i="30"/>
  <c r="I93" i="30"/>
  <c r="O116" i="30"/>
  <c r="O130" i="30"/>
  <c r="H158" i="30"/>
  <c r="F101" i="31"/>
  <c r="J101" i="31"/>
  <c r="N101" i="31"/>
  <c r="D120" i="31"/>
  <c r="O120" i="31" s="1"/>
  <c r="H120" i="31"/>
  <c r="H128" i="31" s="1"/>
  <c r="L120" i="31"/>
  <c r="L128" i="31" s="1"/>
  <c r="F151" i="31"/>
  <c r="J151" i="31"/>
  <c r="N151" i="31"/>
  <c r="O63" i="31"/>
  <c r="O72" i="31"/>
  <c r="O77" i="31"/>
  <c r="O87" i="31"/>
  <c r="O91" i="31"/>
  <c r="O100" i="31"/>
  <c r="D108" i="31"/>
  <c r="H108" i="31"/>
  <c r="L108" i="31"/>
  <c r="C128" i="31"/>
  <c r="K128" i="31"/>
  <c r="O119" i="31"/>
  <c r="O124" i="31"/>
  <c r="G151" i="31"/>
  <c r="K151" i="31"/>
  <c r="O135" i="31"/>
  <c r="O140" i="31"/>
  <c r="O144" i="31"/>
  <c r="O148" i="31"/>
  <c r="J162" i="31"/>
  <c r="N162" i="31"/>
  <c r="O156" i="31"/>
  <c r="O60" i="31"/>
  <c r="O68" i="31"/>
  <c r="O76" i="31"/>
  <c r="C82" i="31"/>
  <c r="O82" i="31" s="1"/>
  <c r="O84" i="31"/>
  <c r="O96" i="31"/>
  <c r="O104" i="31"/>
  <c r="O118" i="31"/>
  <c r="O136" i="31"/>
  <c r="E162" i="31"/>
  <c r="I162" i="31"/>
  <c r="M162" i="31"/>
  <c r="O161" i="31"/>
  <c r="E186" i="31"/>
  <c r="I186" i="31"/>
  <c r="I187" i="31" s="1"/>
  <c r="M186" i="31"/>
  <c r="M187" i="31" s="1"/>
  <c r="M188" i="31" s="1"/>
  <c r="O191" i="31"/>
  <c r="O159" i="31"/>
  <c r="C162" i="31"/>
  <c r="F167" i="31"/>
  <c r="O167" i="31" s="1"/>
  <c r="J167" i="31"/>
  <c r="N167" i="31"/>
  <c r="O171" i="31"/>
  <c r="D187" i="31"/>
  <c r="L187" i="31"/>
  <c r="O183" i="31"/>
  <c r="O192" i="31"/>
  <c r="O111" i="31"/>
  <c r="O131" i="31"/>
  <c r="O157" i="31"/>
  <c r="O164" i="31"/>
  <c r="C175" i="31"/>
  <c r="G175" i="31"/>
  <c r="K175" i="31"/>
  <c r="O181" i="31"/>
  <c r="C193" i="31"/>
  <c r="O193" i="31" s="1"/>
  <c r="O169" i="31"/>
  <c r="J188" i="31" l="1"/>
  <c r="D183" i="30"/>
  <c r="I188" i="31"/>
  <c r="F188" i="31"/>
  <c r="O172" i="30"/>
  <c r="J183" i="30"/>
  <c r="O32" i="31"/>
  <c r="O136" i="30"/>
  <c r="E183" i="30"/>
  <c r="K59" i="30"/>
  <c r="K60" i="30" s="1"/>
  <c r="D128" i="31"/>
  <c r="J55" i="31"/>
  <c r="J56" i="31" s="1"/>
  <c r="J57" i="31" s="1"/>
  <c r="J40" i="30"/>
  <c r="J59" i="30" s="1"/>
  <c r="J60" i="30" s="1"/>
  <c r="J184" i="30" s="1"/>
  <c r="J190" i="30" s="1"/>
  <c r="O133" i="31"/>
  <c r="K188" i="31"/>
  <c r="O108" i="31"/>
  <c r="O93" i="30"/>
  <c r="D59" i="30"/>
  <c r="D60" i="30" s="1"/>
  <c r="D188" i="31"/>
  <c r="O26" i="31"/>
  <c r="O20" i="31"/>
  <c r="O74" i="30"/>
  <c r="O39" i="31"/>
  <c r="O150" i="30"/>
  <c r="H183" i="30"/>
  <c r="K56" i="31"/>
  <c r="K57" i="31" s="1"/>
  <c r="F55" i="31"/>
  <c r="F56" i="31" s="1"/>
  <c r="F57" i="31" s="1"/>
  <c r="F189" i="31" s="1"/>
  <c r="F194" i="31" s="1"/>
  <c r="O186" i="31"/>
  <c r="N188" i="31"/>
  <c r="O158" i="30"/>
  <c r="O44" i="31"/>
  <c r="H188" i="31"/>
  <c r="O50" i="31"/>
  <c r="H184" i="30"/>
  <c r="H190" i="30" s="1"/>
  <c r="G56" i="31"/>
  <c r="G57" i="31" s="1"/>
  <c r="G189" i="31" s="1"/>
  <c r="G194" i="31" s="1"/>
  <c r="N56" i="31"/>
  <c r="N57" i="31" s="1"/>
  <c r="D184" i="30"/>
  <c r="D190" i="30" s="1"/>
  <c r="L188" i="31"/>
  <c r="E184" i="30"/>
  <c r="E190" i="30" s="1"/>
  <c r="K184" i="30"/>
  <c r="K190" i="30" s="1"/>
  <c r="E187" i="31"/>
  <c r="E188" i="31" s="1"/>
  <c r="E189" i="31" s="1"/>
  <c r="E194" i="31" s="1"/>
  <c r="O128" i="31"/>
  <c r="O74" i="31"/>
  <c r="O66" i="30"/>
  <c r="I183" i="30"/>
  <c r="I184" i="30" s="1"/>
  <c r="I190" i="30" s="1"/>
  <c r="C56" i="30"/>
  <c r="O56" i="30" s="1"/>
  <c r="O51" i="30"/>
  <c r="F184" i="30"/>
  <c r="F190" i="30" s="1"/>
  <c r="C188" i="31"/>
  <c r="G59" i="30"/>
  <c r="G60" i="30" s="1"/>
  <c r="G184" i="30" s="1"/>
  <c r="G190" i="30" s="1"/>
  <c r="D56" i="31"/>
  <c r="D57" i="31" s="1"/>
  <c r="D189" i="31" s="1"/>
  <c r="D194" i="31" s="1"/>
  <c r="O82" i="30"/>
  <c r="C189" i="30"/>
  <c r="O189" i="30" s="1"/>
  <c r="O188" i="30"/>
  <c r="O55" i="30"/>
  <c r="H56" i="31"/>
  <c r="H57" i="31" s="1"/>
  <c r="H189" i="31" s="1"/>
  <c r="H194" i="31" s="1"/>
  <c r="I189" i="31"/>
  <c r="I194" i="31" s="1"/>
  <c r="O175" i="31"/>
  <c r="O162" i="31"/>
  <c r="C40" i="30"/>
  <c r="O33" i="30"/>
  <c r="O39" i="30"/>
  <c r="M189" i="31"/>
  <c r="M194" i="31" s="1"/>
  <c r="O176" i="30"/>
  <c r="O21" i="30"/>
  <c r="O114" i="30"/>
  <c r="O16" i="31"/>
  <c r="O107" i="30"/>
  <c r="O99" i="30"/>
  <c r="M184" i="30"/>
  <c r="M190" i="30" s="1"/>
  <c r="O16" i="30"/>
  <c r="O94" i="31"/>
  <c r="L56" i="31"/>
  <c r="L57" i="31" s="1"/>
  <c r="L189" i="31" s="1"/>
  <c r="L194" i="31" s="1"/>
  <c r="O125" i="30"/>
  <c r="C182" i="30"/>
  <c r="O182" i="30" s="1"/>
  <c r="C56" i="31"/>
  <c r="K189" i="31" l="1"/>
  <c r="K194" i="31" s="1"/>
  <c r="O40" i="30"/>
  <c r="N189" i="31"/>
  <c r="N194" i="31" s="1"/>
  <c r="J189" i="31"/>
  <c r="J194" i="31" s="1"/>
  <c r="O55" i="31"/>
  <c r="P198" i="24"/>
  <c r="O188" i="31"/>
  <c r="C59" i="30"/>
  <c r="O187" i="31"/>
  <c r="O56" i="31"/>
  <c r="C57" i="31"/>
  <c r="C183" i="30"/>
  <c r="O183" i="30" s="1"/>
  <c r="P75" i="24" l="1"/>
  <c r="O59" i="30"/>
  <c r="C60" i="30"/>
  <c r="C189" i="31"/>
  <c r="O57" i="31"/>
  <c r="C184" i="30" l="1"/>
  <c r="O60" i="30"/>
  <c r="C194" i="31"/>
  <c r="O194" i="31" s="1"/>
  <c r="O189" i="31"/>
  <c r="O184" i="30" l="1"/>
  <c r="C190" i="30"/>
  <c r="O190" i="30" s="1"/>
  <c r="P80" i="24" l="1"/>
  <c r="P43" i="24" l="1"/>
  <c r="P14" i="24" l="1"/>
  <c r="P131" i="24" l="1"/>
  <c r="P135" i="24"/>
  <c r="P134" i="24"/>
  <c r="P139" i="24" l="1"/>
  <c r="P136" i="24" l="1"/>
  <c r="P70" i="24" l="1"/>
  <c r="P27" i="24"/>
  <c r="P130" i="24"/>
  <c r="P129" i="24" l="1"/>
  <c r="P142" i="24" l="1"/>
  <c r="P205" i="24" l="1"/>
</calcChain>
</file>

<file path=xl/sharedStrings.xml><?xml version="1.0" encoding="utf-8"?>
<sst xmlns="http://schemas.openxmlformats.org/spreadsheetml/2006/main" count="687" uniqueCount="463">
  <si>
    <t>HOLY CROSS PROVINCE</t>
  </si>
  <si>
    <t>BUDGET PREPARATION WORKSHEET</t>
  </si>
  <si>
    <r>
      <t xml:space="preserve">RETREAT CENTER NAME </t>
    </r>
    <r>
      <rPr>
        <b/>
        <u/>
        <sz val="12"/>
        <color indexed="8"/>
        <rFont val="Arial"/>
        <family val="2"/>
      </rPr>
      <t>_St Paul of the Cross Retreat Center Inc</t>
    </r>
  </si>
  <si>
    <t>Printed</t>
  </si>
  <si>
    <t xml:space="preserve"> </t>
  </si>
  <si>
    <t>Actual</t>
  </si>
  <si>
    <t xml:space="preserve">Actual </t>
  </si>
  <si>
    <t>Budget</t>
  </si>
  <si>
    <t>Explanation</t>
  </si>
  <si>
    <t>2018/2019</t>
  </si>
  <si>
    <t>DONATIONS &amp; BEQUESTS</t>
  </si>
  <si>
    <t>DONATIONS (UNRESTRICTED)</t>
  </si>
  <si>
    <t>DONATIONS (RESTRICTED)</t>
  </si>
  <si>
    <t>ENROLLMENTS</t>
  </si>
  <si>
    <t>35% to community</t>
  </si>
  <si>
    <t>DONATIONS - MEN'S RETREATS</t>
  </si>
  <si>
    <t>PRAYER LEAGUE</t>
  </si>
  <si>
    <t>DONATIONS - WOMEN'S RETREAT</t>
  </si>
  <si>
    <t>CHRISTMAS APPEAL</t>
  </si>
  <si>
    <t>GOLF OUTING</t>
  </si>
  <si>
    <t>DIRECTORS CIRCLE</t>
  </si>
  <si>
    <t>TOTAL DONATIONS &amp; BEQUESTS</t>
  </si>
  <si>
    <t>PASSIONIST PREACHED RETREATS</t>
  </si>
  <si>
    <t>TOTAL PASSIONIST PREACHED RETREATS</t>
  </si>
  <si>
    <t>HOSTED RETREATS AND PROGRAMS</t>
  </si>
  <si>
    <t>PRIVATE RETREATS, LAITY</t>
  </si>
  <si>
    <t>PRIVATE RETREATS RELIGIOUS / PRIEST</t>
  </si>
  <si>
    <t>HC PROVINCE SPONSORED PROGRAMS</t>
  </si>
  <si>
    <t>TOTAL RETREATS AND PROGRAMS</t>
  </si>
  <si>
    <t>HOSTED PROGRAMS - OVERNIGHT</t>
  </si>
  <si>
    <t>YOUTH</t>
  </si>
  <si>
    <r>
      <t xml:space="preserve">PRIESTS </t>
    </r>
    <r>
      <rPr>
        <sz val="10"/>
        <color indexed="8"/>
        <rFont val="Arial"/>
        <family val="2"/>
      </rPr>
      <t>(November)</t>
    </r>
  </si>
  <si>
    <t>OTHER CATHOLIC</t>
  </si>
  <si>
    <t>ECUMENICAL</t>
  </si>
  <si>
    <t>TOTAL HOSTED PROGRAMS - OVERNIGHT</t>
  </si>
  <si>
    <t>HOSTED PROGRAMS - DAY</t>
  </si>
  <si>
    <t>OTHER MEETINGS</t>
  </si>
  <si>
    <t>BUKAS-LOOP SA DIYOS</t>
  </si>
  <si>
    <t>TOTAL HOSTED PROGRAMS - DAY</t>
  </si>
  <si>
    <t>.</t>
  </si>
  <si>
    <t>TOTAL OTHER</t>
  </si>
  <si>
    <t>CLOTHING</t>
  </si>
  <si>
    <t>MICHIGAN SALES TAX DISCOUNT</t>
  </si>
  <si>
    <t>INSURANCE FUND SETTLEMENT</t>
  </si>
  <si>
    <t>GRAND TOTAL - TOTAL OTHER</t>
  </si>
  <si>
    <t>INTER-INSTITUTIONAL REVENUE</t>
  </si>
  <si>
    <t>INTEREST ON RESERVE FUND</t>
  </si>
  <si>
    <t>TOTAL INTER-INSTITUTIONAL REVENUE</t>
  </si>
  <si>
    <t>TOTAL REVENUE</t>
  </si>
  <si>
    <t>TABLE</t>
  </si>
  <si>
    <t>PROVISIONS</t>
  </si>
  <si>
    <t>CONTRACTED FOOD SERVICES</t>
  </si>
  <si>
    <t>TABLE CLOTHS &amp; LINENS</t>
  </si>
  <si>
    <t>BEVERAGES</t>
  </si>
  <si>
    <t>PROVISIONS/BEVERAGES-RET.STAFF</t>
  </si>
  <si>
    <t>EQUIPMENT &amp; SUPPLIES(PURCHASE/REPAIR)</t>
  </si>
  <si>
    <t>TOTAL TABLE</t>
  </si>
  <si>
    <t>ROOMS</t>
  </si>
  <si>
    <t>LAUNDRY,LINENS &amp; BEDDINGS</t>
  </si>
  <si>
    <t>FURNISHING &amp; SUPPLIES</t>
  </si>
  <si>
    <t>CLEANING &amp; LAUNDRY SUPPLIES</t>
  </si>
  <si>
    <t xml:space="preserve">ROOM SUPPLIES - CONSUMABLES </t>
  </si>
  <si>
    <t>ROOM EXPENSES-RET.STAFF</t>
  </si>
  <si>
    <t>CLEANING SERVICES</t>
  </si>
  <si>
    <t>TOTAL ROOMS</t>
  </si>
  <si>
    <t>AUTOMOBILE EXPENSE</t>
  </si>
  <si>
    <t>GAS/OIL</t>
  </si>
  <si>
    <t>TIRES,MAINTENANCE &amp; REPAIRS</t>
  </si>
  <si>
    <t>INSURANCE &amp; LICENSES</t>
  </si>
  <si>
    <t>TOTAL AUTOMOBILE EXPENSE</t>
  </si>
  <si>
    <t>TRAVEL-OFFICIAL</t>
  </si>
  <si>
    <t>MAINTENANCE-INTERIOR</t>
  </si>
  <si>
    <t>PLUMBING</t>
  </si>
  <si>
    <t>ELECTRICAL</t>
  </si>
  <si>
    <t>HEATING &amp; BOILER</t>
  </si>
  <si>
    <t>AIR CONDITIONING</t>
  </si>
  <si>
    <t>BUILDING INTERIORS &amp; FURNISHINGS</t>
  </si>
  <si>
    <t>MAINTENANCE SUPPLIES</t>
  </si>
  <si>
    <t>REPAIR HOUSEHOLD APPLIANCES</t>
  </si>
  <si>
    <t>REPLACEMENT OF EQUIPMENT</t>
  </si>
  <si>
    <t>JANITORIAL SUPPLIES &amp; EQUIPMENT</t>
  </si>
  <si>
    <t>CONTRACTED HOUSEKEEPING SERVICES</t>
  </si>
  <si>
    <t>TOTAL MAINTENANCE-INTERIOR</t>
  </si>
  <si>
    <t>MAINTENANCE-EXTERIOR</t>
  </si>
  <si>
    <t>BUILDING EXTERIORS &amp; ROOFS</t>
  </si>
  <si>
    <t>LANDSCAPING SUPPLIES</t>
  </si>
  <si>
    <t>GROUND EQUIPMENT (PURCHASE/REPAIR)</t>
  </si>
  <si>
    <t>PAVEMENTS,DRIVEWAYS,EXTERIOR LIGHTING</t>
  </si>
  <si>
    <t>DISPOSAL SERVICE-REFUSE</t>
  </si>
  <si>
    <t>TOTAL MAINTENANCE-EXTERIOR</t>
  </si>
  <si>
    <t>UTILITIES</t>
  </si>
  <si>
    <t>ELECTRICITY</t>
  </si>
  <si>
    <t>FUEL</t>
  </si>
  <si>
    <t>WATER</t>
  </si>
  <si>
    <t>TELEPHONE</t>
  </si>
  <si>
    <t>BUILDING INSURANCE</t>
  </si>
  <si>
    <t>TOTAL UTILITIES</t>
  </si>
  <si>
    <t>SALARIES</t>
  </si>
  <si>
    <t xml:space="preserve">LAY EMPLOYEES   </t>
  </si>
  <si>
    <t>FICA (EMPLOYERS SHARE)</t>
  </si>
  <si>
    <t>WORKMAN'S COMPENSATION</t>
  </si>
  <si>
    <t>HEALTH INSURANCE</t>
  </si>
  <si>
    <t>DENTAL</t>
  </si>
  <si>
    <t>LTD LIFE</t>
  </si>
  <si>
    <t>LIFE INSURANCE</t>
  </si>
  <si>
    <t>RETIREMENT</t>
  </si>
  <si>
    <t>UNEMPLOYMENT TAXES</t>
  </si>
  <si>
    <t>EMPLOYEE EDUCATION</t>
  </si>
  <si>
    <t>SHORT TERM DISABILITY</t>
  </si>
  <si>
    <t>OTHER BENEFITS</t>
  </si>
  <si>
    <t>WEEKEND MINISTRY</t>
  </si>
  <si>
    <t>TOTAL SALARIES</t>
  </si>
  <si>
    <t>ADMINISTRATION</t>
  </si>
  <si>
    <t>PRINTING WEEKEND RETREATS</t>
  </si>
  <si>
    <t>POSTAGE</t>
  </si>
  <si>
    <t>OFFICE SUPPLIES</t>
  </si>
  <si>
    <t>OFFICE EQUIPMENT</t>
  </si>
  <si>
    <t>MAINTENANCE CONTRACTS</t>
  </si>
  <si>
    <t>EQUIPMENT LEASE</t>
  </si>
  <si>
    <t>CONTRACTED SERVICES</t>
  </si>
  <si>
    <t>ORGANIZATIONAL MEMBERSHIP</t>
  </si>
  <si>
    <t>MEETINGS/WORKSHOPS</t>
  </si>
  <si>
    <t>CONSULTANT SERVICES (INCLUDING LEGAL)</t>
  </si>
  <si>
    <t>COMPUTER CHARGES (PPO.OFFICE INCLUDED)</t>
  </si>
  <si>
    <t>BANK CHARGES</t>
  </si>
  <si>
    <t>MC/VISA FEES</t>
  </si>
  <si>
    <t>INTEREST &amp; LATE FEES</t>
  </si>
  <si>
    <t>AMEX DISCOUNT FEES</t>
  </si>
  <si>
    <t>PRINTING FLYERS</t>
  </si>
  <si>
    <t>OFFICIAL ENTERTAINMENT</t>
  </si>
  <si>
    <t>NEWSLETTER (ALL COSTS)</t>
  </si>
  <si>
    <t>1 Issue</t>
  </si>
  <si>
    <t>MARKETING</t>
  </si>
  <si>
    <t>TOTAL ADMINISTRATION</t>
  </si>
  <si>
    <t>SPECIAL EVENTS</t>
  </si>
  <si>
    <t>DIRECTOR'S CIRCLE</t>
  </si>
  <si>
    <t>TOTAL SPECIAL EVENTS</t>
  </si>
  <si>
    <t>RELIGIOUS GOODS/ACCESSORIES</t>
  </si>
  <si>
    <t>GIFTSHOP CLOTHING</t>
  </si>
  <si>
    <t>GIFTSHOP BOOKS / AUDIO</t>
  </si>
  <si>
    <t>ENROLLMENT SUPPLIES</t>
  </si>
  <si>
    <t>TOTAL RELIGIOUS GOODS/ACCESSORIES</t>
  </si>
  <si>
    <t>OTHER</t>
  </si>
  <si>
    <t>CHAPEL &amp; LITURGICAL SUPPLIES</t>
  </si>
  <si>
    <t>CHARITABLE DONATIONS</t>
  </si>
  <si>
    <t>LIBRARY/EDUCATIONAL MATERIALS</t>
  </si>
  <si>
    <t>MUSIC MINISTRY</t>
  </si>
  <si>
    <t>VISITING LECTURERS FEES</t>
  </si>
  <si>
    <t>SPM ENROLLMENTS</t>
  </si>
  <si>
    <t>INTER-INSTITUTIONAL EXPENSES</t>
  </si>
  <si>
    <t>INTER-FUND TRANSFER</t>
  </si>
  <si>
    <t>PROVINCIALATE</t>
  </si>
  <si>
    <t>CHAPTER ASSESSMENT</t>
  </si>
  <si>
    <t>SOLIDARITY FUND ASSESSMENT</t>
  </si>
  <si>
    <t>TOTAL INTER-INSTITUTIONAL EXPENSES</t>
  </si>
  <si>
    <t>TOTAL EXPENSES</t>
  </si>
  <si>
    <t>NET INCOME BEFORE DEPRECIATION</t>
  </si>
  <si>
    <t>DEPRECIATION</t>
  </si>
  <si>
    <t>NET INCOME AFTER DEPRECIATION</t>
  </si>
  <si>
    <t>donations over cost</t>
  </si>
  <si>
    <t>Rent</t>
  </si>
  <si>
    <t>LOCAL ASSESSMENT</t>
  </si>
  <si>
    <t>2019/2020</t>
  </si>
  <si>
    <t>MINISTRY PROGRAMS</t>
  </si>
  <si>
    <t>ADVANCEMENT EXPENSES</t>
  </si>
  <si>
    <t>Revenues</t>
  </si>
  <si>
    <t>In-kind Donations</t>
  </si>
  <si>
    <t>In-kind Donations - Golf</t>
  </si>
  <si>
    <t>Expenses</t>
  </si>
  <si>
    <t>Other Expense - In-Kind Donations</t>
  </si>
  <si>
    <t>RECOVERY PROGRAMS</t>
  </si>
  <si>
    <t>GIFTSHOP GENERAL MERCHANDISE</t>
  </si>
  <si>
    <t>BOOKS/AUDIO</t>
  </si>
  <si>
    <t>PRINTING (Admin &amp; Development)</t>
  </si>
  <si>
    <t>GIFTSHOP/GENERAL MERCHANDISE</t>
  </si>
  <si>
    <t>4660-25</t>
  </si>
  <si>
    <t>Other Expense - In-Kind Donations Golf</t>
  </si>
  <si>
    <t>GAIN/LOSS OF SALE FIXED ASSETS</t>
  </si>
  <si>
    <t>Yellow cells = direct entry</t>
  </si>
  <si>
    <t>Green cells are linked</t>
  </si>
  <si>
    <t>Ovations</t>
  </si>
  <si>
    <t>Incl in 6661</t>
  </si>
  <si>
    <t>SPECIAL EVENTS DINNERS</t>
  </si>
  <si>
    <t>2020/2021</t>
  </si>
  <si>
    <t>VOTIVES &amp; DEVOTIONALS</t>
  </si>
  <si>
    <t>Total</t>
  </si>
  <si>
    <t>35% of A/C # 4330</t>
  </si>
  <si>
    <t>candles</t>
  </si>
  <si>
    <t>Local Assesst Increase:</t>
  </si>
  <si>
    <t>COGS:</t>
  </si>
  <si>
    <t>30% Votives revenue</t>
  </si>
  <si>
    <t>15% of PL revenue</t>
  </si>
  <si>
    <t>2021/2022</t>
  </si>
  <si>
    <t>FISCAL YEAR 2022 - 2023</t>
  </si>
  <si>
    <t>2022/2023</t>
  </si>
  <si>
    <t>Total Revenue</t>
  </si>
  <si>
    <t>Total Expenditures</t>
  </si>
  <si>
    <t>Total Other Expenditures</t>
  </si>
  <si>
    <t>Revenue</t>
  </si>
  <si>
    <t xml:space="preserve">   10 Donations and Bequests</t>
  </si>
  <si>
    <t xml:space="preserve">      4046 Endowment</t>
  </si>
  <si>
    <t xml:space="preserve">      4310 Donations (Unrestricted)</t>
  </si>
  <si>
    <t xml:space="preserve">      4315 Donations (Restricted)</t>
  </si>
  <si>
    <t xml:space="preserve">      4330 Enrollments</t>
  </si>
  <si>
    <t xml:space="preserve">      4336 Prayer League</t>
  </si>
  <si>
    <t xml:space="preserve">      4337 Votives &amp; Devotionals</t>
  </si>
  <si>
    <t xml:space="preserve">      4345 Christmas Appeal</t>
  </si>
  <si>
    <t xml:space="preserve">      4351 Director's Circle</t>
  </si>
  <si>
    <t xml:space="preserve">   Total 10 Donations and Bequests</t>
  </si>
  <si>
    <t xml:space="preserve">   20 Passionist Conducted Retreats</t>
  </si>
  <si>
    <t xml:space="preserve">      4405 Men's Retreats</t>
  </si>
  <si>
    <t xml:space="preserve">      4410 Women's Retreats</t>
  </si>
  <si>
    <t xml:space="preserve">      4415 Other Passionist Overnight Retreats</t>
  </si>
  <si>
    <t xml:space="preserve">   Total 20 Passionist Conducted Retreats</t>
  </si>
  <si>
    <t xml:space="preserve">   30 Other Retreats and Programs</t>
  </si>
  <si>
    <t xml:space="preserve">      4460 Ministry Programs</t>
  </si>
  <si>
    <t xml:space="preserve">      4481 Private Retreats</t>
  </si>
  <si>
    <t xml:space="preserve">      4550 Bukas-Loob Sa Diyos</t>
  </si>
  <si>
    <t xml:space="preserve">      4560 Recovery Meetings</t>
  </si>
  <si>
    <t xml:space="preserve">   Total 30 Other Retreats and Programs</t>
  </si>
  <si>
    <t xml:space="preserve">   40 Hosted Programs</t>
  </si>
  <si>
    <t xml:space="preserve">      43 Hosted Programs - Overnight</t>
  </si>
  <si>
    <t xml:space="preserve">         4505 Youth</t>
  </si>
  <si>
    <t xml:space="preserve">         4510 Other Catholic</t>
  </si>
  <si>
    <t xml:space="preserve">         4515 Ecumenical &amp; Other</t>
  </si>
  <si>
    <t xml:space="preserve">      Total 43 Hosted Programs - Overnight</t>
  </si>
  <si>
    <t xml:space="preserve">      45 Hosted Programs - Day</t>
  </si>
  <si>
    <t xml:space="preserve">         4535 Youth</t>
  </si>
  <si>
    <t xml:space="preserve">         4540 Other Catholic</t>
  </si>
  <si>
    <t xml:space="preserve">         4545 Ecumenical &amp; Other</t>
  </si>
  <si>
    <t xml:space="preserve">         4548 Meetings, Day &amp; Evening</t>
  </si>
  <si>
    <t xml:space="preserve">      Total 45 Hosted Programs - Day</t>
  </si>
  <si>
    <t xml:space="preserve">   Total 40 Hosted Programs</t>
  </si>
  <si>
    <t xml:space="preserve">   50 Gift Shop</t>
  </si>
  <si>
    <t xml:space="preserve">      4602 Clothing</t>
  </si>
  <si>
    <t xml:space="preserve">      4604 Giftshop General Merchandise</t>
  </si>
  <si>
    <t xml:space="preserve">      4605 Books / Audio</t>
  </si>
  <si>
    <t xml:space="preserve">   Total 50 Gift Shop</t>
  </si>
  <si>
    <t xml:space="preserve">   60 Other Income</t>
  </si>
  <si>
    <t xml:space="preserve">      63 Special Events</t>
  </si>
  <si>
    <t xml:space="preserve">         4350 Golf Outing</t>
  </si>
  <si>
    <t xml:space="preserve">         4661 In-kind Donations - Golf</t>
  </si>
  <si>
    <t xml:space="preserve">      Total 63 Special Events</t>
  </si>
  <si>
    <t xml:space="preserve">      65 Other Income</t>
  </si>
  <si>
    <t xml:space="preserve">         4660 In-kind Donations</t>
  </si>
  <si>
    <t xml:space="preserve">         4881 Endowment Investment Earnings</t>
  </si>
  <si>
    <t xml:space="preserve">      Total 65 Other Income</t>
  </si>
  <si>
    <t xml:space="preserve">   Total 60 Other Income</t>
  </si>
  <si>
    <t>Gross Profit</t>
  </si>
  <si>
    <t>Expenditures</t>
  </si>
  <si>
    <t xml:space="preserve">   110 Table</t>
  </si>
  <si>
    <t xml:space="preserve">      6011 Provisions</t>
  </si>
  <si>
    <t xml:space="preserve">      6012 Contracted Food Service</t>
  </si>
  <si>
    <t xml:space="preserve">      6015 Beverages</t>
  </si>
  <si>
    <t xml:space="preserve">      6025 Prov/Beverage Retreat Staff</t>
  </si>
  <si>
    <t xml:space="preserve">      6030 Equip/Supplies-purchase/repair</t>
  </si>
  <si>
    <t xml:space="preserve">   Total 110 Table</t>
  </si>
  <si>
    <t xml:space="preserve">   115 Room</t>
  </si>
  <si>
    <t xml:space="preserve">      6055 Laundry Service</t>
  </si>
  <si>
    <t xml:space="preserve">      6060 Furnishing &amp; Supplies</t>
  </si>
  <si>
    <t xml:space="preserve">      6061 Cleaning &amp; Laundry Supplies</t>
  </si>
  <si>
    <t xml:space="preserve">      6063 Room Supplies, Consumables</t>
  </si>
  <si>
    <t xml:space="preserve">      6065 Room Expenses - Retreat Staff</t>
  </si>
  <si>
    <t xml:space="preserve">      6066 Cleaning Services</t>
  </si>
  <si>
    <t xml:space="preserve">   Total 115 Room</t>
  </si>
  <si>
    <t xml:space="preserve">   120 Automobile</t>
  </si>
  <si>
    <t xml:space="preserve">      6312 Gas/Oil</t>
  </si>
  <si>
    <t xml:space="preserve">      6313 Tires, Maintanence &amp; Repairs</t>
  </si>
  <si>
    <t xml:space="preserve">      6314 Insurance &amp; Licenses</t>
  </si>
  <si>
    <t xml:space="preserve">   Total 120 Automobile</t>
  </si>
  <si>
    <t xml:space="preserve">   130 Maintenance Interior</t>
  </si>
  <si>
    <t xml:space="preserve">      6411 Plumbing</t>
  </si>
  <si>
    <t xml:space="preserve">      6412 Electrical</t>
  </si>
  <si>
    <t xml:space="preserve">      6413 Heating &amp; Boiler</t>
  </si>
  <si>
    <t xml:space="preserve">      6414 Refrigeration &amp; Air Conditioning</t>
  </si>
  <si>
    <t xml:space="preserve">      6420 Bldg.Interiors &amp; Furnishings</t>
  </si>
  <si>
    <t xml:space="preserve">      6421 Maintenance Supplies</t>
  </si>
  <si>
    <t xml:space="preserve">      6423 Replacement of Equipment</t>
  </si>
  <si>
    <t xml:space="preserve">      6424 Janitorial Supplies/Equipment</t>
  </si>
  <si>
    <t xml:space="preserve">      6425 Contracted Housekeeping Servs</t>
  </si>
  <si>
    <t xml:space="preserve">   Total 130 Maintenance Interior</t>
  </si>
  <si>
    <t xml:space="preserve">   135 Maintenance Exterior</t>
  </si>
  <si>
    <t xml:space="preserve">      6431 Building Exteriors &amp; Roofs</t>
  </si>
  <si>
    <t xml:space="preserve">      6432 Landscaping Supplies</t>
  </si>
  <si>
    <t xml:space="preserve">      6434 Grounds Equip. purchase/repair</t>
  </si>
  <si>
    <t xml:space="preserve">      6435 Paving &amp; Exterior Lighting</t>
  </si>
  <si>
    <t xml:space="preserve">      6436 Disposal Service, Refuse</t>
  </si>
  <si>
    <t xml:space="preserve">   Total 135 Maintenance Exterior</t>
  </si>
  <si>
    <t xml:space="preserve">   140 Utilities &amp; Building Insurance</t>
  </si>
  <si>
    <t xml:space="preserve">      6451 Electricity</t>
  </si>
  <si>
    <t xml:space="preserve">      6452 Fuel</t>
  </si>
  <si>
    <t xml:space="preserve">      6453 Water</t>
  </si>
  <si>
    <t xml:space="preserve">      6454 Telephone</t>
  </si>
  <si>
    <t xml:space="preserve">      6460 Building Insurance</t>
  </si>
  <si>
    <t xml:space="preserve">      6470 Building Taxes  &amp; Fees</t>
  </si>
  <si>
    <t xml:space="preserve">   Total 140 Utilities &amp; Building Insurance</t>
  </si>
  <si>
    <t xml:space="preserve">   150 Salaries &amp; Benefits</t>
  </si>
  <si>
    <t xml:space="preserve">      152 Employee Insurance</t>
  </si>
  <si>
    <t xml:space="preserve">         6623 Medical Insurance</t>
  </si>
  <si>
    <t xml:space="preserve">         6624 Dental</t>
  </si>
  <si>
    <t xml:space="preserve">         6625 Long Term Disability</t>
  </si>
  <si>
    <t xml:space="preserve">         6626 Life Insurance</t>
  </si>
  <si>
    <t xml:space="preserve">      Total 152 Employee Insurance</t>
  </si>
  <si>
    <t xml:space="preserve">      154 Other Compensation &amp; Benefits</t>
  </si>
  <si>
    <t xml:space="preserve">         6630 Employee Education</t>
  </si>
  <si>
    <t xml:space="preserve">         6645 Other Benefits</t>
  </si>
  <si>
    <t xml:space="preserve">         6646 Weekend Ministry</t>
  </si>
  <si>
    <t xml:space="preserve">      Total 154 Other Compensation &amp; Benefits</t>
  </si>
  <si>
    <t xml:space="preserve">      6610 Lay Employees</t>
  </si>
  <si>
    <t xml:space="preserve">      6621 FICA, Employers Share</t>
  </si>
  <si>
    <t xml:space="preserve">      6622 Workman's Compensation</t>
  </si>
  <si>
    <t xml:space="preserve">      6628 Retirement</t>
  </si>
  <si>
    <t xml:space="preserve">      6629 Unemployment Taxes</t>
  </si>
  <si>
    <t xml:space="preserve">      6641 Short Term Disability</t>
  </si>
  <si>
    <t xml:space="preserve">      9990 Community Reimbursed Salaries</t>
  </si>
  <si>
    <t xml:space="preserve">   Total 150 Salaries &amp; Benefits</t>
  </si>
  <si>
    <t xml:space="preserve">   160 Administration</t>
  </si>
  <si>
    <t xml:space="preserve">      162 Office Supplies &amp; Equipment</t>
  </si>
  <si>
    <t xml:space="preserve">         6663 Office Supplies</t>
  </si>
  <si>
    <t xml:space="preserve">         6664 Office Equipment</t>
  </si>
  <si>
    <t xml:space="preserve">      Total 162 Office Supplies &amp; Equipment</t>
  </si>
  <si>
    <t xml:space="preserve">      164 Printing</t>
  </si>
  <si>
    <t xml:space="preserve">         6661 Printing Weekend Retreats</t>
  </si>
  <si>
    <t xml:space="preserve">         6669 Printing</t>
  </si>
  <si>
    <t xml:space="preserve">         6679 Printing Hosted &amp; Ministry</t>
  </si>
  <si>
    <t xml:space="preserve">      Total 164 Printing</t>
  </si>
  <si>
    <t xml:space="preserve">      6662 Postage</t>
  </si>
  <si>
    <t xml:space="preserve">      6665 Maintenance Contracts</t>
  </si>
  <si>
    <t xml:space="preserve">      6666 Equipment Lease</t>
  </si>
  <si>
    <t xml:space="preserve">      6668 Contracted Services</t>
  </si>
  <si>
    <t xml:space="preserve">      6670 Organizational Membership</t>
  </si>
  <si>
    <t xml:space="preserve">      6672 Consultant Services</t>
  </si>
  <si>
    <t xml:space="preserve">      6673 Computer Charges &amp; PPO</t>
  </si>
  <si>
    <t xml:space="preserve">      6674 Bank Charges</t>
  </si>
  <si>
    <t xml:space="preserve">      6675 M/C Visa Discount Fees</t>
  </si>
  <si>
    <t xml:space="preserve">      6677 Interest &amp; Late Fees Exp</t>
  </si>
  <si>
    <t xml:space="preserve">      6680 Official Entertainment</t>
  </si>
  <si>
    <t xml:space="preserve">      6690 Administration Other</t>
  </si>
  <si>
    <t xml:space="preserve">      6695 Marketing</t>
  </si>
  <si>
    <t xml:space="preserve">   Total 160 Administration</t>
  </si>
  <si>
    <t xml:space="preserve">   170 Fundraising Expenses</t>
  </si>
  <si>
    <t xml:space="preserve">      6740 Golf Outing</t>
  </si>
  <si>
    <t xml:space="preserve">      6744 Christmas Appeal</t>
  </si>
  <si>
    <t xml:space="preserve">      6747 Votives &amp; Devotionals</t>
  </si>
  <si>
    <t xml:space="preserve">      6748 Prayer League</t>
  </si>
  <si>
    <t xml:space="preserve">      6749 Special Events Other</t>
  </si>
  <si>
    <t xml:space="preserve">      6758 Enrollment Supplies</t>
  </si>
  <si>
    <t xml:space="preserve">      6875 Other Expense - In-Kind Donations</t>
  </si>
  <si>
    <t xml:space="preserve">   Total 170 Fundraising Expenses</t>
  </si>
  <si>
    <t xml:space="preserve">   180 Gift Shop Expense</t>
  </si>
  <si>
    <t xml:space="preserve">      6750 Giftshop, Other</t>
  </si>
  <si>
    <t xml:space="preserve">      6756 Books / Audio</t>
  </si>
  <si>
    <t xml:space="preserve">      6757 Giftshop, Religious Articles</t>
  </si>
  <si>
    <t xml:space="preserve">   Total 180 Gift Shop Expense</t>
  </si>
  <si>
    <t xml:space="preserve">   185 Other Expenses</t>
  </si>
  <si>
    <t xml:space="preserve">      6810 Chapel &amp; Liturgical Supplies</t>
  </si>
  <si>
    <t xml:space="preserve">      6815 Charitable Donations</t>
  </si>
  <si>
    <t xml:space="preserve">      6850 Library/Educational Materials</t>
  </si>
  <si>
    <t xml:space="preserve">      6853 Music Ministry</t>
  </si>
  <si>
    <t xml:space="preserve">      6855 Visiting Lecturer's Fees</t>
  </si>
  <si>
    <t xml:space="preserve">      6870 SPM Enrollments</t>
  </si>
  <si>
    <t xml:space="preserve">   Total 185 Other Expenses</t>
  </si>
  <si>
    <t xml:space="preserve">   500 Interinstitutional Transactions</t>
  </si>
  <si>
    <t xml:space="preserve">      510 Interinstitutional Revenue</t>
  </si>
  <si>
    <t xml:space="preserve">         4880 Interest on Reserve Account</t>
  </si>
  <si>
    <t xml:space="preserve">      Total 510 Interinstitutional Revenue</t>
  </si>
  <si>
    <t xml:space="preserve">      520 Interinstitutional Expenses</t>
  </si>
  <si>
    <t xml:space="preserve">         6667 Rent</t>
  </si>
  <si>
    <t xml:space="preserve">         6910 Local Assessment</t>
  </si>
  <si>
    <t xml:space="preserve">         6995 Provincialate Assessment</t>
  </si>
  <si>
    <t xml:space="preserve">         6999 Solidarity Fund Assessment</t>
  </si>
  <si>
    <t xml:space="preserve">      Total 520 Interinstitutional Expenses</t>
  </si>
  <si>
    <t xml:space="preserve">   Total 500 Interinstitutional Transactions</t>
  </si>
  <si>
    <t>Net Operating Revenue</t>
  </si>
  <si>
    <t>Other Expenditures</t>
  </si>
  <si>
    <t xml:space="preserve">   6899 Depreciation Expense</t>
  </si>
  <si>
    <t>Net Other Revenue</t>
  </si>
  <si>
    <t>Net Revenue</t>
  </si>
  <si>
    <t>St. Paul of the Cross Passionist Retreat Center</t>
  </si>
  <si>
    <t>Statement of Activity</t>
  </si>
  <si>
    <t xml:space="preserve">      6014 Table Cloths &amp; Linens</t>
  </si>
  <si>
    <t xml:space="preserve">   125 Travel</t>
  </si>
  <si>
    <t xml:space="preserve">      6322 Travel, Official</t>
  </si>
  <si>
    <t xml:space="preserve">   Total 125 Travel</t>
  </si>
  <si>
    <t xml:space="preserve">      6422 Repair Household Appliances</t>
  </si>
  <si>
    <t xml:space="preserve">         6685 Newsletter</t>
  </si>
  <si>
    <t xml:space="preserve">      6671 Meetings &amp; Workshops</t>
  </si>
  <si>
    <t xml:space="preserve">      6751 Clothing</t>
  </si>
  <si>
    <t>July 2021 - June 2022</t>
  </si>
  <si>
    <t>Prelim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</si>
  <si>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</si>
  <si>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</si>
  <si>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</si>
  <si>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</si>
  <si>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</si>
  <si>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</si>
  <si>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</si>
  <si>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</si>
  <si>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</si>
  <si>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</si>
  <si>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</si>
  <si>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</si>
  <si>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 xml:space="preserve">         4620 Special Events Dinner</t>
  </si>
  <si>
    <t xml:space="preserve">         4681 Gain/Loss on Sale of Fixed Assets</t>
  </si>
  <si>
    <t xml:space="preserve">   Discounts given</t>
  </si>
  <si>
    <t xml:space="preserve">   Sales</t>
  </si>
  <si>
    <t xml:space="preserve">      6880 Other</t>
  </si>
  <si>
    <t xml:space="preserve">   Other (Billbeez)</t>
  </si>
  <si>
    <t>Thursday, Mar 17, 2022 02:28:18 PM GMT-7 - Accrual Basis</t>
  </si>
  <si>
    <t xml:space="preserve">Budget Overview: FY2021-22 Budget - FY22 P&amp;L </t>
  </si>
  <si>
    <t xml:space="preserve">      6745 Director's Circle</t>
  </si>
  <si>
    <t xml:space="preserve">      6865 Advancement Expenses</t>
  </si>
  <si>
    <t xml:space="preserve">         6970 Transfer of Funds</t>
  </si>
  <si>
    <t>Thursday, Mar 17, 2022 02:34:26 PM GMT-7 - Accrual Basis</t>
  </si>
  <si>
    <t>Projected</t>
  </si>
  <si>
    <t>9 FTE, 6PT - an increase from FY22 of 1 FT and 1 PT</t>
  </si>
  <si>
    <t>Music 6* $125</t>
  </si>
  <si>
    <t>% Δ</t>
  </si>
  <si>
    <t>avg 70 (16 weekends)</t>
  </si>
  <si>
    <t>avg 70 (10 weekends)</t>
  </si>
  <si>
    <t>not used</t>
  </si>
  <si>
    <t>10% increase in volume + 5% increase in food costs</t>
  </si>
  <si>
    <t>I think included in the food costs</t>
  </si>
  <si>
    <t>2% increase from 2022</t>
  </si>
  <si>
    <t>Updates to system resources - software</t>
  </si>
  <si>
    <t>1.5% of $1,050,538 in the reserve fund</t>
  </si>
  <si>
    <t>Being Conservative - big contributions in FY22</t>
  </si>
  <si>
    <t>Didn't do an Easter Appeal in years prior to FY22</t>
  </si>
  <si>
    <t>donations over $215 cost - conservative</t>
  </si>
  <si>
    <t>LAYMEN (1070 @ 215)</t>
  </si>
  <si>
    <t>LAYWOMEN (700 @ 215.00)</t>
  </si>
  <si>
    <t>Endowment Investment Earnings</t>
  </si>
  <si>
    <t>3% earned on the Thoman and Gorno Investment Accounts</t>
  </si>
  <si>
    <t>Oct 24-27,~30 priests, rooms/meals</t>
  </si>
  <si>
    <t>People are finding SPR and asking to come</t>
  </si>
  <si>
    <t>Days of Reflection</t>
  </si>
  <si>
    <t>Has not been held last three years.</t>
  </si>
  <si>
    <t>Increase in participants, increase in pricing</t>
  </si>
  <si>
    <t>Capturing facility users who were getting free space</t>
  </si>
  <si>
    <t>Increased retreatants, more hours and merchendise</t>
  </si>
  <si>
    <t>Increased retreatants, more hours and cool shirts</t>
  </si>
  <si>
    <t>2006 Truck will likely need some repairs</t>
  </si>
  <si>
    <t>Increased fuel prices</t>
  </si>
  <si>
    <t>Travel will likely be mild</t>
  </si>
  <si>
    <t>Higher than normal inflation on parts and services</t>
  </si>
  <si>
    <t>Higher natural gas prices expected</t>
  </si>
  <si>
    <t>Higher electrical costs expected</t>
  </si>
  <si>
    <t>Reducing our water consumption - Easter appeal</t>
  </si>
  <si>
    <t>An area to review - can we cut back?</t>
  </si>
  <si>
    <t>Global warming!  Insurance rates are going up.</t>
  </si>
  <si>
    <t>Fr Alex and invited speakers - didn't use in FY22</t>
  </si>
  <si>
    <t>PIA , Acctg and audit fees - not full audit for fy22</t>
  </si>
  <si>
    <t>More people attending</t>
  </si>
  <si>
    <t>Based on Donations work sheet</t>
  </si>
  <si>
    <t>seldom used</t>
  </si>
  <si>
    <t>insurance rates</t>
  </si>
  <si>
    <t>average of last 6 years + 5%</t>
  </si>
  <si>
    <t>Verify with Cathy</t>
  </si>
  <si>
    <t>3% of annual operating revenue -check this</t>
  </si>
  <si>
    <t>see 6667 (use the same)</t>
  </si>
  <si>
    <t xml:space="preserve"> 2.5% of $700,000 - Why is this negative</t>
  </si>
  <si>
    <t>New roof has brought this up, also some of the capital additions planned.</t>
  </si>
  <si>
    <t>B23 - 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</si>
</sst>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i/>
      <sz val="12"/>
      <color indexed="8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2"/>
      <color rgb="FFFF000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12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9">
    <xf numFmtId="0" fontId="0" fillId="2" borderId="0"/>
    <xf numFmtId="9" fontId="1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140">
    <xf numFmtId="0" fontId="0" fillId="2" borderId="0" xfId="0"/>
    <xf numFmtId="0" fontId="2" fillId="2" borderId="0" xfId="0" applyNumberFormat="1" applyFont="1" applyAlignment="1"/>
    <xf numFmtId="14" fontId="2" fillId="2" borderId="0" xfId="0" applyNumberFormat="1" applyFont="1" applyAlignment="1"/>
    <xf numFmtId="0" fontId="0" fillId="2" borderId="0" xfId="0" applyNumberFormat="1" applyAlignment="1"/>
    <xf numFmtId="0" fontId="0" fillId="2" borderId="0" xfId="0" applyNumberFormat="1"/>
    <xf numFmtId="22" fontId="4" fillId="2" borderId="0" xfId="0" applyNumberFormat="1" applyFont="1" applyAlignment="1"/>
    <xf numFmtId="0" fontId="2" fillId="2" borderId="0" xfId="0" applyNumberFormat="1" applyFont="1" applyAlignment="1">
      <alignment horizontal="left"/>
    </xf>
    <xf numFmtId="22" fontId="6" fillId="2" borderId="0" xfId="0" applyNumberFormat="1" applyFont="1" applyAlignment="1">
      <alignment horizontal="center"/>
    </xf>
    <xf numFmtId="0" fontId="6" fillId="2" borderId="0" xfId="0" applyNumberFormat="1" applyFont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0" fillId="2" borderId="1" xfId="0" applyNumberFormat="1" applyBorder="1"/>
    <xf numFmtId="0" fontId="2" fillId="2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14" fontId="2" fillId="2" borderId="1" xfId="0" applyNumberFormat="1" applyFont="1" applyBorder="1" applyAlignment="1">
      <alignment horizontal="center"/>
    </xf>
    <xf numFmtId="0" fontId="0" fillId="2" borderId="2" xfId="0" applyNumberFormat="1" applyBorder="1"/>
    <xf numFmtId="0" fontId="2" fillId="2" borderId="2" xfId="0" applyNumberFormat="1" applyFont="1" applyBorder="1" applyAlignment="1">
      <alignment horizontal="center"/>
    </xf>
    <xf numFmtId="41" fontId="0" fillId="2" borderId="2" xfId="0" applyNumberFormat="1" applyBorder="1"/>
    <xf numFmtId="41" fontId="0" fillId="3" borderId="2" xfId="0" applyNumberFormat="1" applyFill="1" applyBorder="1"/>
    <xf numFmtId="0" fontId="7" fillId="2" borderId="2" xfId="0" applyNumberFormat="1" applyFont="1" applyBorder="1" applyAlignment="1">
      <alignment horizontal="left"/>
    </xf>
    <xf numFmtId="41" fontId="6" fillId="2" borderId="2" xfId="0" applyNumberFormat="1" applyFont="1" applyBorder="1"/>
    <xf numFmtId="41" fontId="6" fillId="3" borderId="2" xfId="0" applyNumberFormat="1" applyFont="1" applyFill="1" applyBorder="1"/>
    <xf numFmtId="0" fontId="9" fillId="2" borderId="2" xfId="0" applyNumberFormat="1" applyFont="1" applyBorder="1"/>
    <xf numFmtId="0" fontId="2" fillId="2" borderId="2" xfId="0" applyNumberFormat="1" applyFont="1" applyBorder="1"/>
    <xf numFmtId="41" fontId="9" fillId="3" borderId="2" xfId="0" applyNumberFormat="1" applyFont="1" applyFill="1" applyBorder="1"/>
    <xf numFmtId="0" fontId="10" fillId="2" borderId="2" xfId="0" applyNumberFormat="1" applyFont="1" applyBorder="1" applyAlignment="1">
      <alignment horizontal="center"/>
    </xf>
    <xf numFmtId="41" fontId="11" fillId="2" borderId="2" xfId="0" applyNumberFormat="1" applyFont="1" applyBorder="1"/>
    <xf numFmtId="41" fontId="11" fillId="3" borderId="2" xfId="0" applyNumberFormat="1" applyFont="1" applyFill="1" applyBorder="1"/>
    <xf numFmtId="41" fontId="6" fillId="2" borderId="2" xfId="0" applyNumberFormat="1" applyFont="1" applyBorder="1" applyAlignment="1">
      <alignment horizontal="center"/>
    </xf>
    <xf numFmtId="10" fontId="0" fillId="3" borderId="2" xfId="0" applyNumberFormat="1" applyFill="1" applyBorder="1"/>
    <xf numFmtId="0" fontId="0" fillId="2" borderId="3" xfId="0" applyNumberFormat="1" applyBorder="1"/>
    <xf numFmtId="0" fontId="6" fillId="2" borderId="3" xfId="0" applyNumberFormat="1" applyFont="1" applyBorder="1"/>
    <xf numFmtId="41" fontId="6" fillId="2" borderId="3" xfId="0" applyNumberFormat="1" applyFont="1" applyBorder="1"/>
    <xf numFmtId="0" fontId="3" fillId="2" borderId="2" xfId="0" applyNumberFormat="1" applyFont="1" applyBorder="1" applyAlignment="1">
      <alignment horizontal="center"/>
    </xf>
    <xf numFmtId="41" fontId="9" fillId="2" borderId="2" xfId="0" applyNumberFormat="1" applyFont="1" applyBorder="1"/>
    <xf numFmtId="41" fontId="6" fillId="4" borderId="2" xfId="0" applyNumberFormat="1" applyFont="1" applyFill="1" applyBorder="1"/>
    <xf numFmtId="7" fontId="0" fillId="2" borderId="2" xfId="0" applyNumberFormat="1" applyBorder="1"/>
    <xf numFmtId="0" fontId="3" fillId="2" borderId="1" xfId="0" applyNumberFormat="1" applyFont="1" applyBorder="1" applyAlignment="1">
      <alignment horizontal="center"/>
    </xf>
    <xf numFmtId="41" fontId="0" fillId="0" borderId="2" xfId="0" applyNumberFormat="1" applyFill="1" applyBorder="1"/>
    <xf numFmtId="41" fontId="6" fillId="0" borderId="2" xfId="0" applyNumberFormat="1" applyFont="1" applyFill="1" applyBorder="1"/>
    <xf numFmtId="41" fontId="0" fillId="7" borderId="2" xfId="0" applyNumberFormat="1" applyFill="1" applyBorder="1"/>
    <xf numFmtId="0" fontId="2" fillId="2" borderId="0" xfId="0" applyNumberFormat="1" applyFont="1" applyBorder="1" applyAlignment="1">
      <alignment horizontal="center"/>
    </xf>
    <xf numFmtId="14" fontId="2" fillId="2" borderId="0" xfId="0" applyNumberFormat="1" applyFont="1" applyBorder="1" applyAlignment="1">
      <alignment horizontal="center"/>
    </xf>
    <xf numFmtId="0" fontId="14" fillId="2" borderId="0" xfId="0" applyFont="1" applyAlignment="1">
      <alignment vertical="center"/>
    </xf>
    <xf numFmtId="9" fontId="0" fillId="0" borderId="2" xfId="1" applyFont="1" applyFill="1" applyBorder="1"/>
    <xf numFmtId="41" fontId="6" fillId="3" borderId="5" xfId="0" applyNumberFormat="1" applyFont="1" applyFill="1" applyBorder="1"/>
    <xf numFmtId="41" fontId="0" fillId="3" borderId="6" xfId="0" applyNumberFormat="1" applyFill="1" applyBorder="1"/>
    <xf numFmtId="41" fontId="0" fillId="2" borderId="0" xfId="0" applyNumberFormat="1"/>
    <xf numFmtId="5" fontId="0" fillId="2" borderId="2" xfId="0" applyNumberFormat="1" applyBorder="1"/>
    <xf numFmtId="5" fontId="0" fillId="0" borderId="2" xfId="0" applyNumberFormat="1" applyFill="1" applyBorder="1"/>
    <xf numFmtId="5" fontId="6" fillId="2" borderId="2" xfId="0" applyNumberFormat="1" applyFont="1" applyBorder="1"/>
    <xf numFmtId="9" fontId="0" fillId="6" borderId="2" xfId="1" applyFont="1" applyFill="1" applyBorder="1"/>
    <xf numFmtId="43" fontId="0" fillId="2" borderId="2" xfId="0" applyNumberFormat="1" applyBorder="1"/>
    <xf numFmtId="9" fontId="0" fillId="3" borderId="2" xfId="1" applyFont="1" applyFill="1" applyBorder="1"/>
    <xf numFmtId="41" fontId="11" fillId="2" borderId="0" xfId="0" applyNumberFormat="1" applyFont="1" applyBorder="1"/>
    <xf numFmtId="43" fontId="11" fillId="2" borderId="2" xfId="0" applyNumberFormat="1" applyFont="1" applyBorder="1"/>
    <xf numFmtId="0" fontId="0" fillId="0" borderId="2" xfId="0" applyNumberFormat="1" applyFill="1" applyBorder="1"/>
    <xf numFmtId="0" fontId="9" fillId="2" borderId="0" xfId="0" applyFont="1"/>
    <xf numFmtId="0" fontId="15" fillId="6" borderId="0" xfId="0" applyNumberFormat="1" applyFont="1" applyFill="1" applyAlignment="1"/>
    <xf numFmtId="0" fontId="2" fillId="6" borderId="0" xfId="0" applyNumberFormat="1" applyFont="1" applyFill="1" applyAlignment="1"/>
    <xf numFmtId="0" fontId="10" fillId="8" borderId="2" xfId="0" applyNumberFormat="1" applyFont="1" applyFill="1" applyBorder="1" applyAlignment="1">
      <alignment horizontal="center"/>
    </xf>
    <xf numFmtId="41" fontId="11" fillId="8" borderId="2" xfId="0" applyNumberFormat="1" applyFont="1" applyFill="1" applyBorder="1"/>
    <xf numFmtId="43" fontId="11" fillId="8" borderId="2" xfId="0" applyNumberFormat="1" applyFont="1" applyFill="1" applyBorder="1"/>
    <xf numFmtId="0" fontId="6" fillId="8" borderId="2" xfId="0" applyNumberFormat="1" applyFont="1" applyFill="1" applyBorder="1"/>
    <xf numFmtId="0" fontId="6" fillId="8" borderId="0" xfId="0" applyFont="1" applyFill="1"/>
    <xf numFmtId="0" fontId="6" fillId="9" borderId="0" xfId="0" applyNumberFormat="1" applyFont="1" applyFill="1"/>
    <xf numFmtId="0" fontId="0" fillId="9" borderId="1" xfId="0" applyNumberFormat="1" applyFill="1" applyBorder="1"/>
    <xf numFmtId="14" fontId="2" fillId="9" borderId="1" xfId="0" applyNumberFormat="1" applyFont="1" applyFill="1" applyBorder="1" applyAlignment="1">
      <alignment horizontal="center"/>
    </xf>
    <xf numFmtId="0" fontId="3" fillId="9" borderId="1" xfId="0" applyNumberFormat="1" applyFont="1" applyFill="1" applyBorder="1" applyAlignment="1">
      <alignment horizontal="center"/>
    </xf>
    <xf numFmtId="0" fontId="0" fillId="9" borderId="0" xfId="0" applyFill="1"/>
    <xf numFmtId="0" fontId="0" fillId="10" borderId="2" xfId="0" applyNumberFormat="1" applyFill="1" applyBorder="1"/>
    <xf numFmtId="0" fontId="16" fillId="2" borderId="0" xfId="0" applyFont="1" applyAlignment="1">
      <alignment horizontal="left"/>
    </xf>
    <xf numFmtId="0" fontId="18" fillId="11" borderId="0" xfId="7" applyFont="1" applyFill="1"/>
    <xf numFmtId="0" fontId="17" fillId="0" borderId="0" xfId="7"/>
    <xf numFmtId="0" fontId="17" fillId="0" borderId="0" xfId="7" applyAlignment="1">
      <alignment wrapText="1"/>
    </xf>
    <xf numFmtId="0" fontId="21" fillId="0" borderId="4" xfId="7" applyFont="1" applyBorder="1" applyAlignment="1">
      <alignment horizontal="center" wrapText="1"/>
    </xf>
    <xf numFmtId="0" fontId="16" fillId="0" borderId="0" xfId="7" applyFont="1" applyAlignment="1">
      <alignment horizontal="left" wrapText="1"/>
    </xf>
    <xf numFmtId="164" fontId="22" fillId="0" borderId="0" xfId="7" applyNumberFormat="1" applyFont="1" applyAlignment="1">
      <alignment wrapText="1"/>
    </xf>
    <xf numFmtId="164" fontId="22" fillId="0" borderId="0" xfId="7" applyNumberFormat="1" applyFont="1" applyAlignment="1">
      <alignment horizontal="right" wrapText="1"/>
    </xf>
    <xf numFmtId="165" fontId="16" fillId="0" borderId="9" xfId="7" applyNumberFormat="1" applyFont="1" applyBorder="1" applyAlignment="1">
      <alignment horizontal="right" wrapText="1"/>
    </xf>
    <xf numFmtId="0" fontId="23" fillId="6" borderId="0" xfId="7" applyFont="1" applyFill="1" applyAlignment="1">
      <alignment horizontal="center"/>
    </xf>
    <xf numFmtId="5" fontId="0" fillId="12" borderId="2" xfId="0" applyNumberFormat="1" applyFill="1" applyBorder="1"/>
    <xf numFmtId="0" fontId="6" fillId="0" borderId="0" xfId="0" applyNumberFormat="1" applyFont="1" applyFill="1" applyAlignment="1">
      <alignment horizontal="center"/>
    </xf>
    <xf numFmtId="41" fontId="0" fillId="12" borderId="2" xfId="0" applyNumberFormat="1" applyFill="1" applyBorder="1"/>
    <xf numFmtId="41" fontId="6" fillId="12" borderId="2" xfId="0" applyNumberFormat="1" applyFont="1" applyFill="1" applyBorder="1"/>
    <xf numFmtId="41" fontId="11" fillId="12" borderId="2" xfId="0" applyNumberFormat="1" applyFont="1" applyFill="1" applyBorder="1"/>
    <xf numFmtId="43" fontId="11" fillId="12" borderId="2" xfId="0" applyNumberFormat="1" applyFont="1" applyFill="1" applyBorder="1"/>
    <xf numFmtId="9" fontId="0" fillId="12" borderId="2" xfId="1" applyFont="1" applyFill="1" applyBorder="1"/>
    <xf numFmtId="43" fontId="0" fillId="12" borderId="2" xfId="0" applyNumberFormat="1" applyFill="1" applyBorder="1"/>
    <xf numFmtId="14" fontId="2" fillId="9" borderId="0" xfId="0" applyNumberFormat="1" applyFont="1" applyFill="1" applyBorder="1" applyAlignment="1">
      <alignment horizontal="center"/>
    </xf>
    <xf numFmtId="41" fontId="0" fillId="2" borderId="7" xfId="0" applyNumberFormat="1" applyBorder="1"/>
    <xf numFmtId="5" fontId="0" fillId="2" borderId="7" xfId="0" applyNumberFormat="1" applyBorder="1"/>
    <xf numFmtId="41" fontId="6" fillId="2" borderId="7" xfId="0" applyNumberFormat="1" applyFont="1" applyBorder="1"/>
    <xf numFmtId="5" fontId="0" fillId="12" borderId="7" xfId="0" applyNumberFormat="1" applyFill="1" applyBorder="1"/>
    <xf numFmtId="41" fontId="11" fillId="2" borderId="7" xfId="0" applyNumberFormat="1" applyFont="1" applyBorder="1"/>
    <xf numFmtId="43" fontId="11" fillId="2" borderId="7" xfId="0" applyNumberFormat="1" applyFont="1" applyBorder="1"/>
    <xf numFmtId="43" fontId="11" fillId="8" borderId="7" xfId="0" applyNumberFormat="1" applyFont="1" applyFill="1" applyBorder="1"/>
    <xf numFmtId="43" fontId="0" fillId="2" borderId="7" xfId="0" applyNumberFormat="1" applyBorder="1"/>
    <xf numFmtId="5" fontId="6" fillId="2" borderId="7" xfId="0" applyNumberFormat="1" applyFont="1" applyBorder="1"/>
    <xf numFmtId="41" fontId="6" fillId="4" borderId="7" xfId="0" applyNumberFormat="1" applyFont="1" applyFill="1" applyBorder="1"/>
    <xf numFmtId="0" fontId="0" fillId="2" borderId="8" xfId="0" applyNumberFormat="1" applyBorder="1" applyAlignment="1"/>
    <xf numFmtId="0" fontId="0" fillId="2" borderId="8" xfId="0" applyNumberFormat="1" applyBorder="1"/>
    <xf numFmtId="0" fontId="6" fillId="3" borderId="8" xfId="0" applyNumberFormat="1" applyFont="1" applyFill="1" applyBorder="1" applyAlignment="1">
      <alignment horizontal="center"/>
    </xf>
    <xf numFmtId="0" fontId="3" fillId="3" borderId="10" xfId="0" applyNumberFormat="1" applyFont="1" applyFill="1" applyBorder="1" applyAlignment="1">
      <alignment horizontal="center"/>
    </xf>
    <xf numFmtId="0" fontId="3" fillId="9" borderId="10" xfId="0" applyNumberFormat="1" applyFont="1" applyFill="1" applyBorder="1" applyAlignment="1">
      <alignment horizontal="center"/>
    </xf>
    <xf numFmtId="41" fontId="0" fillId="3" borderId="11" xfId="0" applyNumberFormat="1" applyFill="1" applyBorder="1"/>
    <xf numFmtId="41" fontId="6" fillId="3" borderId="11" xfId="0" applyNumberFormat="1" applyFont="1" applyFill="1" applyBorder="1"/>
    <xf numFmtId="41" fontId="6" fillId="2" borderId="11" xfId="0" applyNumberFormat="1" applyFont="1" applyBorder="1"/>
    <xf numFmtId="41" fontId="11" fillId="2" borderId="11" xfId="0" applyNumberFormat="1" applyFont="1" applyBorder="1"/>
    <xf numFmtId="41" fontId="11" fillId="8" borderId="11" xfId="0" applyNumberFormat="1" applyFont="1" applyFill="1" applyBorder="1"/>
    <xf numFmtId="41" fontId="0" fillId="5" borderId="11" xfId="0" applyNumberFormat="1" applyFill="1" applyBorder="1"/>
    <xf numFmtId="41" fontId="9" fillId="3" borderId="11" xfId="0" applyNumberFormat="1" applyFont="1" applyFill="1" applyBorder="1"/>
    <xf numFmtId="41" fontId="6" fillId="3" borderId="12" xfId="0" applyNumberFormat="1" applyFont="1" applyFill="1" applyBorder="1"/>
    <xf numFmtId="0" fontId="6" fillId="2" borderId="0" xfId="0" applyFont="1" applyAlignment="1">
      <alignment horizontal="center"/>
    </xf>
    <xf numFmtId="0" fontId="2" fillId="3" borderId="10" xfId="0" applyNumberFormat="1" applyFont="1" applyFill="1" applyBorder="1" applyAlignment="1">
      <alignment horizontal="center"/>
    </xf>
    <xf numFmtId="41" fontId="24" fillId="12" borderId="2" xfId="0" applyNumberFormat="1" applyFont="1" applyFill="1" applyBorder="1"/>
    <xf numFmtId="41" fontId="25" fillId="12" borderId="2" xfId="0" applyNumberFormat="1" applyFont="1" applyFill="1" applyBorder="1"/>
    <xf numFmtId="41" fontId="9" fillId="12" borderId="2" xfId="0" applyNumberFormat="1" applyFont="1" applyFill="1" applyBorder="1"/>
    <xf numFmtId="9" fontId="0" fillId="2" borderId="0" xfId="1" applyFont="1" applyFill="1"/>
    <xf numFmtId="43" fontId="24" fillId="12" borderId="2" xfId="0" applyNumberFormat="1" applyFont="1" applyFill="1" applyBorder="1"/>
    <xf numFmtId="41" fontId="6" fillId="3" borderId="14" xfId="0" applyNumberFormat="1" applyFont="1" applyFill="1" applyBorder="1"/>
    <xf numFmtId="41" fontId="6" fillId="4" borderId="15" xfId="0" applyNumberFormat="1" applyFont="1" applyFill="1" applyBorder="1"/>
    <xf numFmtId="41" fontId="6" fillId="12" borderId="15" xfId="0" applyNumberFormat="1" applyFont="1" applyFill="1" applyBorder="1"/>
    <xf numFmtId="41" fontId="0" fillId="3" borderId="16" xfId="0" applyNumberFormat="1" applyFill="1" applyBorder="1"/>
    <xf numFmtId="41" fontId="0" fillId="0" borderId="17" xfId="0" applyNumberFormat="1" applyFill="1" applyBorder="1"/>
    <xf numFmtId="41" fontId="0" fillId="12" borderId="17" xfId="0" applyNumberFormat="1" applyFill="1" applyBorder="1"/>
    <xf numFmtId="41" fontId="11" fillId="2" borderId="13" xfId="0" applyNumberFormat="1" applyFont="1" applyBorder="1"/>
    <xf numFmtId="41" fontId="6" fillId="12" borderId="18" xfId="0" applyNumberFormat="1" applyFont="1" applyFill="1" applyBorder="1"/>
    <xf numFmtId="41" fontId="9" fillId="0" borderId="2" xfId="0" applyNumberFormat="1" applyFont="1" applyFill="1" applyBorder="1"/>
    <xf numFmtId="41" fontId="26" fillId="12" borderId="2" xfId="0" applyNumberFormat="1" applyFont="1" applyFill="1" applyBorder="1"/>
    <xf numFmtId="0" fontId="0" fillId="13" borderId="2" xfId="0" applyNumberFormat="1" applyFill="1" applyBorder="1"/>
    <xf numFmtId="0" fontId="9" fillId="13" borderId="2" xfId="0" applyNumberFormat="1" applyFont="1" applyFill="1" applyBorder="1"/>
    <xf numFmtId="41" fontId="9" fillId="13" borderId="6" xfId="0" applyNumberFormat="1" applyFont="1" applyFill="1" applyBorder="1"/>
    <xf numFmtId="41" fontId="9" fillId="13" borderId="2" xfId="0" applyNumberFormat="1" applyFont="1" applyFill="1" applyBorder="1"/>
    <xf numFmtId="9" fontId="9" fillId="0" borderId="2" xfId="0" applyNumberFormat="1" applyFont="1" applyFill="1" applyBorder="1"/>
    <xf numFmtId="9" fontId="9" fillId="3" borderId="2" xfId="0" quotePrefix="1" applyNumberFormat="1" applyFont="1" applyFill="1" applyBorder="1"/>
    <xf numFmtId="22" fontId="4" fillId="2" borderId="0" xfId="0" applyNumberFormat="1" applyFont="1" applyAlignment="1">
      <alignment horizontal="center"/>
    </xf>
    <xf numFmtId="0" fontId="19" fillId="0" borderId="0" xfId="7" applyFont="1" applyAlignment="1">
      <alignment horizontal="center"/>
    </xf>
    <xf numFmtId="0" fontId="17" fillId="0" borderId="0" xfId="7"/>
    <xf numFmtId="0" fontId="20" fillId="0" borderId="0" xfId="7" applyFont="1" applyAlignment="1">
      <alignment horizontal="center"/>
    </xf>
    <xf numFmtId="0" fontId="22" fillId="0" borderId="0" xfId="7" applyFont="1" applyAlignment="1">
      <alignment horizontal="center"/>
    </xf>
  </cellXfs>
  <cellStyles count="9">
    <cellStyle name="Comma 2" xfId="3" xr:uid="{00000000-0005-0000-0000-000001000000}"/>
    <cellStyle name="Currency 2" xfId="5" xr:uid="{00000000-0005-0000-0000-000003000000}"/>
    <cellStyle name="Normal" xfId="0" builtinId="0"/>
    <cellStyle name="Normal 2" xfId="2" xr:uid="{00000000-0005-0000-0000-000005000000}"/>
    <cellStyle name="Normal 3" xfId="4" xr:uid="{00000000-0005-0000-0000-000006000000}"/>
    <cellStyle name="Normal 4" xfId="7" xr:uid="{A3F3F5F9-EC33-4F2A-BCD7-E18E1EC276B1}"/>
    <cellStyle name="Percent" xfId="1" builtinId="5"/>
    <cellStyle name="Percent 2" xfId="6" xr:uid="{00000000-0005-0000-0000-00000C000000}"/>
    <cellStyle name="Percent 3" xfId="8" xr:uid="{7F661BE6-CEE9-4A83-88F1-0D5EB3020423}"/>
  </cellStyles>
  <dxfs count="0"/>
  <tableStyles count="0" defaultTableStyle="TableStyleMedium2" defaultPivotStyle="PivotStyleLight16"/>
  <colors>
    <mruColors>
      <color rgb="FF9E5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702D9-8E71-4AE6-BDB6-E7F9BDD3E32E}">
  <sheetPr>
    <pageSetUpPr fitToPage="1"/>
  </sheetPr>
  <dimension ref="A1:S213"/>
  <sheetViews>
    <sheetView tabSelected="1" zoomScale="70" zoomScaleNormal="70" workbookViewId="0">
      <pane ySplit="9" topLeftCell="A10" activePane="bottomLeft" state="frozen"/>
      <selection pane="bottomLeft" activeCell="U16" sqref="U16"/>
    </sheetView>
  </sheetViews>
  <sheetFormatPr defaultRowHeight="15" x14ac:dyDescent="0.25"/>
  <cols>
    <col min="2" max="2" width="43.1796875" bestFit="1" customWidth="1"/>
    <col min="3" max="6" width="10.90625" hidden="1" customWidth="1"/>
    <col min="7" max="7" width="11.36328125" hidden="1" customWidth="1"/>
    <col min="8" max="9" width="11.54296875" customWidth="1"/>
    <col min="10" max="10" width="12.54296875" customWidth="1"/>
    <col min="11" max="11" width="11" hidden="1" customWidth="1"/>
    <col min="12" max="12" width="11" bestFit="1" customWidth="1"/>
    <col min="13" max="13" width="11" hidden="1" customWidth="1"/>
    <col min="14" max="14" width="11" customWidth="1"/>
    <col min="15" max="15" width="11" bestFit="1" customWidth="1"/>
    <col min="17" max="17" width="44.08984375" customWidth="1"/>
  </cols>
  <sheetData>
    <row r="1" spans="1:19" ht="15.6" x14ac:dyDescent="0.3">
      <c r="A1" s="1"/>
      <c r="B1" s="1"/>
      <c r="C1" s="2"/>
      <c r="D1" s="1"/>
      <c r="E1" s="3"/>
      <c r="F1" s="3"/>
      <c r="G1" s="3"/>
      <c r="H1" s="3"/>
      <c r="I1" s="3"/>
      <c r="J1" s="3"/>
      <c r="K1" s="99"/>
      <c r="L1" s="3"/>
      <c r="M1" s="3"/>
      <c r="N1" s="3"/>
      <c r="O1" s="3"/>
      <c r="Q1" s="3"/>
      <c r="R1" s="4"/>
    </row>
    <row r="2" spans="1:19" ht="15.6" x14ac:dyDescent="0.3">
      <c r="A2" s="1" t="s">
        <v>0</v>
      </c>
      <c r="B2" s="1"/>
      <c r="C2" s="1"/>
      <c r="D2" s="42" t="s">
        <v>178</v>
      </c>
      <c r="E2" s="3"/>
      <c r="F2" s="3"/>
      <c r="G2" s="3"/>
      <c r="H2" s="3"/>
      <c r="I2" s="3"/>
      <c r="J2" s="3"/>
      <c r="K2" s="99"/>
      <c r="L2" s="3"/>
      <c r="M2" s="3"/>
      <c r="N2" s="3"/>
      <c r="O2" s="3"/>
      <c r="Q2" s="3"/>
      <c r="R2" s="4"/>
    </row>
    <row r="3" spans="1:19" ht="15.6" x14ac:dyDescent="0.3">
      <c r="A3" s="1" t="s">
        <v>1</v>
      </c>
      <c r="B3" s="1"/>
      <c r="C3" s="1"/>
      <c r="D3" s="42" t="s">
        <v>179</v>
      </c>
      <c r="E3" s="3"/>
      <c r="F3" s="3"/>
      <c r="G3" s="3"/>
      <c r="H3" s="3"/>
      <c r="I3" s="3"/>
      <c r="J3" s="3"/>
      <c r="K3" s="99"/>
      <c r="L3" s="3"/>
      <c r="M3" s="3"/>
      <c r="N3" s="3"/>
      <c r="O3" s="3"/>
      <c r="Q3" s="3"/>
      <c r="R3" s="4"/>
    </row>
    <row r="4" spans="1:19" ht="15.6" x14ac:dyDescent="0.3">
      <c r="A4" s="57" t="s">
        <v>193</v>
      </c>
      <c r="B4" s="58"/>
      <c r="C4" s="1"/>
      <c r="D4" s="1"/>
      <c r="E4" s="3"/>
      <c r="F4" s="3"/>
      <c r="G4" s="3"/>
      <c r="H4" s="3"/>
      <c r="I4" s="3"/>
      <c r="J4" s="3"/>
      <c r="K4" s="99"/>
      <c r="L4" s="3"/>
      <c r="M4" s="3"/>
      <c r="N4" s="3"/>
      <c r="O4" s="3"/>
      <c r="Q4" s="3"/>
      <c r="R4" s="4"/>
    </row>
    <row r="5" spans="1:19" ht="17.399999999999999" x14ac:dyDescent="0.3">
      <c r="A5" s="135"/>
      <c r="B5" s="135"/>
      <c r="C5" s="5"/>
      <c r="D5" s="5"/>
      <c r="E5" s="4"/>
      <c r="F5" s="4"/>
      <c r="G5" s="4"/>
      <c r="H5" s="4"/>
      <c r="I5" s="4"/>
      <c r="J5" s="4"/>
      <c r="K5" s="100"/>
      <c r="L5" s="4"/>
      <c r="M5" s="4"/>
      <c r="N5" s="4"/>
      <c r="O5" s="4"/>
      <c r="Q5" s="4"/>
      <c r="R5" s="4"/>
    </row>
    <row r="6" spans="1:19" ht="15.6" x14ac:dyDescent="0.3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99"/>
      <c r="L6" s="1"/>
      <c r="M6" s="1"/>
      <c r="N6" s="1"/>
      <c r="O6" s="1"/>
      <c r="Q6" s="3"/>
      <c r="R6" s="4"/>
    </row>
    <row r="7" spans="1:19" ht="15.6" x14ac:dyDescent="0.3">
      <c r="A7" s="6" t="s">
        <v>3</v>
      </c>
      <c r="B7" s="7">
        <v>44676.472266666664</v>
      </c>
      <c r="C7" s="8"/>
      <c r="D7" s="8"/>
      <c r="E7" s="8"/>
      <c r="F7" s="8"/>
      <c r="G7" s="8"/>
      <c r="H7" s="81"/>
      <c r="I7" s="81"/>
      <c r="J7" s="81"/>
      <c r="K7" s="101"/>
      <c r="L7" s="8"/>
      <c r="M7" s="8"/>
      <c r="N7" s="8"/>
      <c r="O7" s="8"/>
      <c r="Q7" s="9"/>
      <c r="R7" s="4"/>
    </row>
    <row r="8" spans="1:19" ht="15.6" x14ac:dyDescent="0.3">
      <c r="A8" s="4"/>
      <c r="B8" s="10" t="s">
        <v>4</v>
      </c>
      <c r="C8" s="11" t="s">
        <v>5</v>
      </c>
      <c r="D8" s="11" t="s">
        <v>6</v>
      </c>
      <c r="E8" s="11" t="s">
        <v>5</v>
      </c>
      <c r="F8" s="11" t="s">
        <v>5</v>
      </c>
      <c r="G8" s="11" t="s">
        <v>5</v>
      </c>
      <c r="H8" s="11" t="s">
        <v>5</v>
      </c>
      <c r="I8" s="11" t="s">
        <v>5</v>
      </c>
      <c r="J8" s="40" t="s">
        <v>414</v>
      </c>
      <c r="K8" s="102" t="s">
        <v>7</v>
      </c>
      <c r="L8" s="36" t="s">
        <v>7</v>
      </c>
      <c r="M8" s="36" t="s">
        <v>7</v>
      </c>
      <c r="N8" s="36" t="s">
        <v>7</v>
      </c>
      <c r="O8" s="36" t="s">
        <v>7</v>
      </c>
      <c r="P8" s="56" t="s">
        <v>462</v>
      </c>
      <c r="Q8" s="12" t="s">
        <v>8</v>
      </c>
      <c r="R8" s="4"/>
    </row>
    <row r="9" spans="1:19" ht="15.6" x14ac:dyDescent="0.3">
      <c r="A9" s="4"/>
      <c r="B9" s="10"/>
      <c r="C9" s="13">
        <v>41820</v>
      </c>
      <c r="D9" s="13">
        <v>42185</v>
      </c>
      <c r="E9" s="13">
        <v>42916</v>
      </c>
      <c r="F9" s="13">
        <v>43281</v>
      </c>
      <c r="G9" s="13">
        <v>43646</v>
      </c>
      <c r="H9" s="13">
        <v>44012</v>
      </c>
      <c r="I9" s="13">
        <v>44377</v>
      </c>
      <c r="J9" s="41">
        <v>44742</v>
      </c>
      <c r="K9" s="102" t="s">
        <v>9</v>
      </c>
      <c r="L9" s="13" t="s">
        <v>162</v>
      </c>
      <c r="M9" s="113" t="s">
        <v>183</v>
      </c>
      <c r="N9" s="13" t="s">
        <v>192</v>
      </c>
      <c r="O9" s="13" t="s">
        <v>194</v>
      </c>
      <c r="P9" s="112" t="s">
        <v>417</v>
      </c>
      <c r="Q9" s="12"/>
      <c r="R9" s="4"/>
    </row>
    <row r="10" spans="1:19" ht="15.6" x14ac:dyDescent="0.3">
      <c r="A10" s="64" t="s">
        <v>165</v>
      </c>
      <c r="B10" s="65"/>
      <c r="C10" s="66"/>
      <c r="D10" s="66"/>
      <c r="E10" s="66"/>
      <c r="F10" s="66"/>
      <c r="G10" s="66"/>
      <c r="H10" s="66"/>
      <c r="I10" s="66"/>
      <c r="J10" s="88"/>
      <c r="K10" s="103"/>
      <c r="L10" s="66"/>
      <c r="M10" s="66"/>
      <c r="N10" s="66"/>
      <c r="O10" s="66"/>
      <c r="P10" s="68"/>
      <c r="Q10" s="67"/>
      <c r="R10" s="4"/>
      <c r="S10" s="70"/>
    </row>
    <row r="11" spans="1:19" ht="15.6" x14ac:dyDescent="0.3">
      <c r="A11" s="14"/>
      <c r="B11" s="15" t="s">
        <v>10</v>
      </c>
      <c r="C11" s="16"/>
      <c r="D11" s="16"/>
      <c r="E11" s="16"/>
      <c r="F11" s="16"/>
      <c r="G11" s="16"/>
      <c r="H11" s="16"/>
      <c r="I11" s="16"/>
      <c r="J11" s="89"/>
      <c r="K11" s="104"/>
      <c r="L11" s="37"/>
      <c r="M11" s="37"/>
      <c r="N11" s="37"/>
      <c r="O11" s="37"/>
      <c r="Q11" s="17"/>
      <c r="R11" s="4"/>
      <c r="S11" s="70"/>
    </row>
    <row r="12" spans="1:19" x14ac:dyDescent="0.25">
      <c r="A12" s="55">
        <v>4310</v>
      </c>
      <c r="B12" s="14" t="s">
        <v>11</v>
      </c>
      <c r="C12" s="16">
        <v>350867.47</v>
      </c>
      <c r="D12" s="16">
        <v>309095.58</v>
      </c>
      <c r="E12" s="16">
        <v>224648.79</v>
      </c>
      <c r="F12" s="16">
        <v>263432</v>
      </c>
      <c r="G12" s="16">
        <v>234022.89</v>
      </c>
      <c r="H12" s="47">
        <v>298827.76999999996</v>
      </c>
      <c r="I12" s="47">
        <v>514150.97</v>
      </c>
      <c r="J12" s="90">
        <v>280426.70999999996</v>
      </c>
      <c r="K12" s="104">
        <v>240000</v>
      </c>
      <c r="L12" s="37">
        <v>210000</v>
      </c>
      <c r="M12" s="37"/>
      <c r="N12" s="37">
        <v>257000</v>
      </c>
      <c r="O12" s="114">
        <v>240000</v>
      </c>
      <c r="P12" s="117">
        <f>(O12-J12)/J12</f>
        <v>-0.1441614103021783</v>
      </c>
      <c r="Q12" s="23" t="s">
        <v>426</v>
      </c>
      <c r="R12" s="4"/>
      <c r="S12" s="70"/>
    </row>
    <row r="13" spans="1:19" x14ac:dyDescent="0.25">
      <c r="A13" s="55">
        <v>4315</v>
      </c>
      <c r="B13" s="14" t="s">
        <v>12</v>
      </c>
      <c r="C13" s="16">
        <v>132116.81</v>
      </c>
      <c r="D13" s="16">
        <v>13681.98</v>
      </c>
      <c r="E13" s="16">
        <v>21958.12</v>
      </c>
      <c r="F13" s="16">
        <v>14778</v>
      </c>
      <c r="G13" s="16">
        <v>70055</v>
      </c>
      <c r="H13" s="47">
        <v>200277.41</v>
      </c>
      <c r="I13" s="47">
        <v>19114.73</v>
      </c>
      <c r="J13" s="90">
        <v>31955.26</v>
      </c>
      <c r="K13" s="104">
        <v>14000</v>
      </c>
      <c r="L13" s="37">
        <v>55000</v>
      </c>
      <c r="M13" s="37"/>
      <c r="N13" s="37">
        <v>20000</v>
      </c>
      <c r="O13" s="114">
        <v>70000</v>
      </c>
      <c r="P13" s="117">
        <f>(O13-J13)/J13</f>
        <v>1.1905626804476011</v>
      </c>
      <c r="Q13" s="23" t="s">
        <v>427</v>
      </c>
      <c r="R13" s="4"/>
      <c r="S13" s="70"/>
    </row>
    <row r="14" spans="1:19" x14ac:dyDescent="0.25">
      <c r="A14" s="55">
        <v>4330</v>
      </c>
      <c r="B14" s="14" t="s">
        <v>13</v>
      </c>
      <c r="C14" s="16">
        <v>4347</v>
      </c>
      <c r="D14" s="16">
        <v>3547.5</v>
      </c>
      <c r="E14" s="16">
        <v>3323</v>
      </c>
      <c r="F14" s="16">
        <v>4465</v>
      </c>
      <c r="G14" s="35">
        <v>3889</v>
      </c>
      <c r="H14" s="47">
        <v>2350</v>
      </c>
      <c r="I14" s="47">
        <v>4955</v>
      </c>
      <c r="J14" s="90">
        <v>4818.3100000000004</v>
      </c>
      <c r="K14" s="104">
        <v>3750</v>
      </c>
      <c r="L14" s="37">
        <v>4536</v>
      </c>
      <c r="M14" s="37"/>
      <c r="N14" s="37">
        <v>3800</v>
      </c>
      <c r="O14" s="114">
        <v>3809.7578930917948</v>
      </c>
      <c r="P14" s="117">
        <f t="shared" ref="P14:P20" si="0">(O14-J14)/J14</f>
        <v>-0.20931656678549232</v>
      </c>
      <c r="Q14" s="17" t="s">
        <v>14</v>
      </c>
      <c r="R14" s="4"/>
      <c r="S14" s="70"/>
    </row>
    <row r="15" spans="1:19" x14ac:dyDescent="0.25">
      <c r="A15" s="55">
        <v>4336</v>
      </c>
      <c r="B15" s="14" t="s">
        <v>16</v>
      </c>
      <c r="C15" s="16">
        <v>28455</v>
      </c>
      <c r="D15" s="16">
        <v>25311</v>
      </c>
      <c r="E15" s="16">
        <v>21247</v>
      </c>
      <c r="F15" s="16">
        <v>20343</v>
      </c>
      <c r="G15" s="16">
        <v>16472</v>
      </c>
      <c r="H15" s="47">
        <v>17590</v>
      </c>
      <c r="I15" s="47">
        <v>18725</v>
      </c>
      <c r="J15" s="90">
        <v>17143</v>
      </c>
      <c r="K15" s="104">
        <v>21000</v>
      </c>
      <c r="L15" s="37">
        <v>15000</v>
      </c>
      <c r="M15" s="37"/>
      <c r="N15" s="37">
        <v>19500</v>
      </c>
      <c r="O15" s="114">
        <v>18000</v>
      </c>
      <c r="P15" s="117">
        <f t="shared" si="0"/>
        <v>4.9991250072916056E-2</v>
      </c>
      <c r="Q15" s="17"/>
      <c r="R15" s="4"/>
      <c r="S15" s="70"/>
    </row>
    <row r="16" spans="1:19" x14ac:dyDescent="0.25">
      <c r="A16" s="55">
        <v>4337</v>
      </c>
      <c r="B16" s="21" t="s">
        <v>184</v>
      </c>
      <c r="C16" s="16"/>
      <c r="D16" s="16"/>
      <c r="E16" s="16">
        <v>0</v>
      </c>
      <c r="F16" s="16">
        <v>0</v>
      </c>
      <c r="G16" s="16">
        <v>6938.5</v>
      </c>
      <c r="H16" s="47">
        <v>3402</v>
      </c>
      <c r="I16" s="47">
        <v>2723</v>
      </c>
      <c r="J16" s="90">
        <v>4175.3100000000004</v>
      </c>
      <c r="K16" s="104">
        <v>0</v>
      </c>
      <c r="L16" s="37">
        <v>6000</v>
      </c>
      <c r="M16" s="37"/>
      <c r="N16" s="37">
        <v>3500</v>
      </c>
      <c r="O16" s="114">
        <v>4000</v>
      </c>
      <c r="P16" s="117">
        <f t="shared" si="0"/>
        <v>-4.198730154168203E-2</v>
      </c>
      <c r="Q16" s="17" t="s">
        <v>187</v>
      </c>
      <c r="R16" s="4"/>
      <c r="S16" s="70"/>
    </row>
    <row r="17" spans="1:19" x14ac:dyDescent="0.25">
      <c r="A17" s="55">
        <v>4345</v>
      </c>
      <c r="B17" s="14" t="s">
        <v>18</v>
      </c>
      <c r="C17" s="16">
        <v>19831</v>
      </c>
      <c r="D17" s="16">
        <v>26418</v>
      </c>
      <c r="E17" s="16">
        <v>67527.3</v>
      </c>
      <c r="F17" s="16">
        <v>64207</v>
      </c>
      <c r="G17" s="16">
        <v>91350</v>
      </c>
      <c r="H17" s="47">
        <v>97410</v>
      </c>
      <c r="I17" s="47">
        <v>157318.56</v>
      </c>
      <c r="J17" s="90">
        <v>137484.10999999999</v>
      </c>
      <c r="K17" s="104">
        <v>50000</v>
      </c>
      <c r="L17" s="37">
        <v>55000</v>
      </c>
      <c r="M17" s="37"/>
      <c r="N17" s="37">
        <v>65000</v>
      </c>
      <c r="O17" s="114">
        <v>75000</v>
      </c>
      <c r="P17" s="117">
        <f t="shared" si="0"/>
        <v>-0.4544824125493484</v>
      </c>
      <c r="Q17" s="17"/>
      <c r="R17" s="4"/>
      <c r="S17" s="70"/>
    </row>
    <row r="18" spans="1:19" x14ac:dyDescent="0.25">
      <c r="A18" s="55">
        <v>4350</v>
      </c>
      <c r="B18" s="14" t="s">
        <v>19</v>
      </c>
      <c r="C18" s="16">
        <v>27503.24</v>
      </c>
      <c r="D18" s="16">
        <v>36482</v>
      </c>
      <c r="E18" s="16">
        <v>42353.75</v>
      </c>
      <c r="F18" s="16">
        <v>50260</v>
      </c>
      <c r="G18" s="16">
        <v>45695</v>
      </c>
      <c r="H18" s="47">
        <v>54936</v>
      </c>
      <c r="I18" s="47">
        <v>48495</v>
      </c>
      <c r="J18" s="90">
        <v>62610</v>
      </c>
      <c r="K18" s="104">
        <v>50000</v>
      </c>
      <c r="L18" s="37">
        <v>49000</v>
      </c>
      <c r="M18" s="37"/>
      <c r="N18" s="37">
        <v>48000</v>
      </c>
      <c r="O18" s="114">
        <v>60000</v>
      </c>
      <c r="P18" s="117">
        <f t="shared" si="0"/>
        <v>-4.1686631528509821E-2</v>
      </c>
      <c r="Q18" s="17"/>
      <c r="R18" s="4"/>
      <c r="S18" s="70"/>
    </row>
    <row r="19" spans="1:19" x14ac:dyDescent="0.25">
      <c r="A19" s="55">
        <v>4351</v>
      </c>
      <c r="B19" s="14" t="s">
        <v>20</v>
      </c>
      <c r="C19" s="16">
        <v>41451</v>
      </c>
      <c r="D19" s="16">
        <v>41600</v>
      </c>
      <c r="E19" s="16">
        <v>45503</v>
      </c>
      <c r="F19" s="16">
        <v>40955</v>
      </c>
      <c r="G19" s="16">
        <v>50975</v>
      </c>
      <c r="H19" s="47">
        <v>34984</v>
      </c>
      <c r="I19" s="47">
        <v>53364</v>
      </c>
      <c r="J19" s="90">
        <v>56670</v>
      </c>
      <c r="K19" s="104">
        <v>45500</v>
      </c>
      <c r="L19" s="37">
        <v>42000</v>
      </c>
      <c r="M19" s="37"/>
      <c r="N19" s="37">
        <v>46500</v>
      </c>
      <c r="O19" s="114">
        <v>53000</v>
      </c>
      <c r="P19" s="117">
        <f t="shared" si="0"/>
        <v>-6.4760896417857775E-2</v>
      </c>
      <c r="Q19" s="17"/>
      <c r="R19" s="4"/>
      <c r="S19" s="70"/>
    </row>
    <row r="20" spans="1:19" ht="15.6" x14ac:dyDescent="0.3">
      <c r="A20" s="55"/>
      <c r="B20" s="15" t="s">
        <v>21</v>
      </c>
      <c r="C20" s="19">
        <v>604571.52</v>
      </c>
      <c r="D20" s="19">
        <v>456136.06</v>
      </c>
      <c r="E20" s="19">
        <v>426560.96</v>
      </c>
      <c r="F20" s="19">
        <v>458440</v>
      </c>
      <c r="G20" s="19">
        <v>519397.39</v>
      </c>
      <c r="H20" s="19">
        <v>709777.17999999993</v>
      </c>
      <c r="I20" s="19">
        <v>818846.26</v>
      </c>
      <c r="J20" s="91">
        <v>595282.69999999995</v>
      </c>
      <c r="K20" s="105">
        <v>424250</v>
      </c>
      <c r="L20" s="38">
        <v>436536</v>
      </c>
      <c r="M20" s="38"/>
      <c r="N20" s="38">
        <v>463300</v>
      </c>
      <c r="O20" s="83">
        <v>523809.75789309177</v>
      </c>
      <c r="P20" s="117">
        <f t="shared" si="0"/>
        <v>-0.12006554550788759</v>
      </c>
      <c r="Q20" s="20"/>
      <c r="R20" s="4"/>
      <c r="S20" s="70"/>
    </row>
    <row r="21" spans="1:19" x14ac:dyDescent="0.25">
      <c r="A21" s="55"/>
      <c r="B21" s="14"/>
      <c r="C21" s="16"/>
      <c r="D21" s="16"/>
      <c r="E21" s="16"/>
      <c r="F21" s="16"/>
      <c r="G21" s="16"/>
      <c r="H21" s="16"/>
      <c r="I21" s="16"/>
      <c r="J21" s="89"/>
      <c r="K21" s="104"/>
      <c r="L21" s="37"/>
      <c r="M21" s="37"/>
      <c r="N21" s="37"/>
      <c r="O21" s="82"/>
      <c r="Q21" s="17"/>
      <c r="R21" s="4"/>
      <c r="S21" s="70"/>
    </row>
    <row r="22" spans="1:19" ht="15.6" x14ac:dyDescent="0.3">
      <c r="A22" s="55"/>
      <c r="B22" s="15" t="s">
        <v>22</v>
      </c>
      <c r="C22" s="16"/>
      <c r="D22" s="16"/>
      <c r="E22" s="16"/>
      <c r="F22" s="16"/>
      <c r="G22" s="16"/>
      <c r="H22" s="16"/>
      <c r="I22" s="16"/>
      <c r="J22" s="89"/>
      <c r="K22" s="104"/>
      <c r="L22" s="37"/>
      <c r="M22" s="37"/>
      <c r="N22" s="37"/>
      <c r="O22" s="82"/>
      <c r="Q22" s="17"/>
      <c r="R22" s="4"/>
      <c r="S22" s="70"/>
    </row>
    <row r="23" spans="1:19" x14ac:dyDescent="0.25">
      <c r="A23" s="55">
        <v>4405</v>
      </c>
      <c r="B23" s="21" t="s">
        <v>429</v>
      </c>
      <c r="C23" s="16">
        <v>236958.44</v>
      </c>
      <c r="D23" s="16">
        <v>238231.5</v>
      </c>
      <c r="E23" s="16">
        <v>278625.03000000003</v>
      </c>
      <c r="F23" s="16">
        <v>219988</v>
      </c>
      <c r="G23" s="16">
        <v>215222</v>
      </c>
      <c r="H23" s="47">
        <v>198474</v>
      </c>
      <c r="I23" s="47">
        <v>82040</v>
      </c>
      <c r="J23" s="90">
        <v>164628</v>
      </c>
      <c r="K23" s="104">
        <v>238650</v>
      </c>
      <c r="L23" s="37">
        <v>232200</v>
      </c>
      <c r="M23" s="37"/>
      <c r="N23" s="37">
        <v>206400</v>
      </c>
      <c r="O23" s="114">
        <v>240800</v>
      </c>
      <c r="P23" s="117">
        <f t="shared" ref="P23:P27" si="1">(O23-J23)/J23</f>
        <v>0.46269164419175351</v>
      </c>
      <c r="Q23" s="23" t="s">
        <v>418</v>
      </c>
      <c r="R23" s="4"/>
      <c r="S23" s="70"/>
    </row>
    <row r="24" spans="1:19" x14ac:dyDescent="0.25">
      <c r="A24" s="55">
        <v>4335</v>
      </c>
      <c r="B24" s="14" t="s">
        <v>15</v>
      </c>
      <c r="C24" s="16"/>
      <c r="D24" s="16"/>
      <c r="E24" s="16"/>
      <c r="F24" s="16">
        <v>64033</v>
      </c>
      <c r="G24" s="16">
        <v>78212.260000000009</v>
      </c>
      <c r="H24" s="47">
        <v>58751.6</v>
      </c>
      <c r="I24" s="47">
        <v>31782.21</v>
      </c>
      <c r="J24" s="92"/>
      <c r="K24" s="104">
        <v>60000</v>
      </c>
      <c r="L24" s="37">
        <v>59400</v>
      </c>
      <c r="M24" s="37"/>
      <c r="N24" s="37">
        <v>33600</v>
      </c>
      <c r="O24" s="114">
        <v>22400</v>
      </c>
      <c r="P24" s="117"/>
      <c r="Q24" s="23" t="s">
        <v>428</v>
      </c>
      <c r="R24" s="4"/>
      <c r="S24" s="70"/>
    </row>
    <row r="25" spans="1:19" x14ac:dyDescent="0.25">
      <c r="A25" s="55">
        <v>4410</v>
      </c>
      <c r="B25" s="21" t="s">
        <v>430</v>
      </c>
      <c r="C25" s="16">
        <v>112388.83</v>
      </c>
      <c r="D25" s="16">
        <v>110224</v>
      </c>
      <c r="E25" s="16">
        <v>131897</v>
      </c>
      <c r="F25" s="16">
        <v>114743</v>
      </c>
      <c r="G25" s="16">
        <v>124489</v>
      </c>
      <c r="H25" s="47">
        <v>80673</v>
      </c>
      <c r="I25" s="47">
        <v>39676.1</v>
      </c>
      <c r="J25" s="90">
        <v>121118</v>
      </c>
      <c r="K25" s="104">
        <v>131150</v>
      </c>
      <c r="L25" s="37">
        <v>139320</v>
      </c>
      <c r="M25" s="37"/>
      <c r="N25" s="37">
        <v>129000</v>
      </c>
      <c r="O25" s="114">
        <v>150500</v>
      </c>
      <c r="P25" s="117">
        <f t="shared" si="1"/>
        <v>0.24258987103485857</v>
      </c>
      <c r="Q25" s="23" t="s">
        <v>419</v>
      </c>
      <c r="R25" s="4"/>
      <c r="S25" s="70"/>
    </row>
    <row r="26" spans="1:19" x14ac:dyDescent="0.25">
      <c r="A26" s="55">
        <v>4340</v>
      </c>
      <c r="B26" s="14" t="s">
        <v>17</v>
      </c>
      <c r="C26" s="16"/>
      <c r="D26" s="16"/>
      <c r="E26" s="16"/>
      <c r="F26" s="16">
        <v>22447</v>
      </c>
      <c r="G26" s="16">
        <v>24173</v>
      </c>
      <c r="H26" s="47">
        <v>16967</v>
      </c>
      <c r="I26" s="47">
        <v>12380</v>
      </c>
      <c r="J26" s="92"/>
      <c r="K26" s="104">
        <v>16000</v>
      </c>
      <c r="L26" s="37">
        <v>22680</v>
      </c>
      <c r="M26" s="37"/>
      <c r="N26" s="37">
        <v>21000</v>
      </c>
      <c r="O26" s="114">
        <v>14000</v>
      </c>
      <c r="P26" s="117"/>
      <c r="Q26" s="17" t="s">
        <v>159</v>
      </c>
      <c r="R26" s="4"/>
      <c r="S26" s="70"/>
    </row>
    <row r="27" spans="1:19" ht="15.6" x14ac:dyDescent="0.3">
      <c r="A27" s="55"/>
      <c r="B27" s="15" t="s">
        <v>23</v>
      </c>
      <c r="C27" s="19">
        <v>349347.27</v>
      </c>
      <c r="D27" s="19">
        <v>348455.5</v>
      </c>
      <c r="E27" s="19">
        <v>410522.03</v>
      </c>
      <c r="F27" s="19">
        <v>421211</v>
      </c>
      <c r="G27" s="19">
        <v>442096.26</v>
      </c>
      <c r="H27" s="19">
        <v>354865.6</v>
      </c>
      <c r="I27" s="19">
        <v>165878.31</v>
      </c>
      <c r="J27" s="91">
        <v>285746</v>
      </c>
      <c r="K27" s="106">
        <v>445800</v>
      </c>
      <c r="L27" s="38">
        <v>453600</v>
      </c>
      <c r="M27" s="38"/>
      <c r="N27" s="38">
        <v>390000</v>
      </c>
      <c r="O27" s="83">
        <v>427700</v>
      </c>
      <c r="P27" s="117">
        <f t="shared" si="1"/>
        <v>0.49678385699187388</v>
      </c>
      <c r="Q27" s="20"/>
      <c r="R27" s="4"/>
      <c r="S27" s="70"/>
    </row>
    <row r="28" spans="1:19" x14ac:dyDescent="0.25">
      <c r="A28" s="55"/>
      <c r="B28" s="14"/>
      <c r="C28" s="16"/>
      <c r="D28" s="16"/>
      <c r="E28" s="16"/>
      <c r="F28" s="16"/>
      <c r="G28" s="16"/>
      <c r="H28" s="16"/>
      <c r="I28" s="16"/>
      <c r="J28" s="89"/>
      <c r="K28" s="104"/>
      <c r="L28" s="37"/>
      <c r="M28" s="37"/>
      <c r="N28" s="37"/>
      <c r="O28" s="82"/>
      <c r="Q28" s="17"/>
      <c r="R28" s="4"/>
      <c r="S28" s="70"/>
    </row>
    <row r="29" spans="1:19" ht="15.6" x14ac:dyDescent="0.3">
      <c r="A29" s="55"/>
      <c r="B29" s="15" t="s">
        <v>163</v>
      </c>
      <c r="C29" s="16"/>
      <c r="D29" s="16"/>
      <c r="E29" s="16"/>
      <c r="F29" s="16"/>
      <c r="G29" s="16"/>
      <c r="H29" s="16"/>
      <c r="I29" s="16"/>
      <c r="J29" s="89"/>
      <c r="K29" s="104"/>
      <c r="L29" s="37"/>
      <c r="M29" s="37"/>
      <c r="N29" s="37"/>
      <c r="O29" s="82"/>
      <c r="Q29" s="17"/>
      <c r="R29" s="4"/>
      <c r="S29" s="70"/>
    </row>
    <row r="30" spans="1:19" ht="15.6" x14ac:dyDescent="0.3">
      <c r="A30" s="55">
        <v>4460</v>
      </c>
      <c r="B30" s="14" t="s">
        <v>163</v>
      </c>
      <c r="C30" s="16">
        <v>7795</v>
      </c>
      <c r="D30" s="16">
        <v>9549.7999999999993</v>
      </c>
      <c r="E30" s="16">
        <v>12727</v>
      </c>
      <c r="F30" s="16">
        <v>6574</v>
      </c>
      <c r="G30" s="16">
        <v>10194</v>
      </c>
      <c r="H30" s="47">
        <v>10680</v>
      </c>
      <c r="I30" s="47">
        <v>9835</v>
      </c>
      <c r="J30" s="90">
        <v>7578.31</v>
      </c>
      <c r="K30" s="104">
        <v>9500</v>
      </c>
      <c r="L30" s="38">
        <v>8000</v>
      </c>
      <c r="M30" s="38"/>
      <c r="N30" s="38">
        <v>6300</v>
      </c>
      <c r="O30" s="115">
        <v>8000</v>
      </c>
      <c r="P30" s="117">
        <f t="shared" ref="P30" si="2">(O30-J30)/J30</f>
        <v>5.5644332311557534E-2</v>
      </c>
      <c r="Q30" s="23" t="s">
        <v>435</v>
      </c>
      <c r="R30" s="4"/>
      <c r="S30" s="70"/>
    </row>
    <row r="31" spans="1:19" x14ac:dyDescent="0.25">
      <c r="A31" s="55"/>
      <c r="B31" s="14"/>
      <c r="C31" s="16"/>
      <c r="D31" s="16"/>
      <c r="E31" s="16"/>
      <c r="F31" s="16"/>
      <c r="G31" s="16"/>
      <c r="H31" s="47"/>
      <c r="I31" s="47"/>
      <c r="J31" s="90"/>
      <c r="K31" s="104"/>
      <c r="L31" s="37"/>
      <c r="M31" s="37"/>
      <c r="N31" s="37"/>
      <c r="O31" s="82"/>
      <c r="Q31" s="17"/>
      <c r="R31" s="4"/>
      <c r="S31" s="70"/>
    </row>
    <row r="32" spans="1:19" ht="15.6" x14ac:dyDescent="0.3">
      <c r="A32" s="55"/>
      <c r="B32" s="15" t="s">
        <v>24</v>
      </c>
      <c r="C32" s="16"/>
      <c r="D32" s="16"/>
      <c r="E32" s="16"/>
      <c r="F32" s="16"/>
      <c r="G32" s="16"/>
      <c r="H32" s="47"/>
      <c r="I32" s="47"/>
      <c r="J32" s="90"/>
      <c r="K32" s="104"/>
      <c r="L32" s="37"/>
      <c r="M32" s="37"/>
      <c r="N32" s="37"/>
      <c r="O32" s="82"/>
      <c r="Q32" s="17"/>
      <c r="R32" s="4"/>
      <c r="S32" s="70"/>
    </row>
    <row r="33" spans="1:19" x14ac:dyDescent="0.25">
      <c r="A33" s="55">
        <v>4481</v>
      </c>
      <c r="B33" s="14" t="s">
        <v>25</v>
      </c>
      <c r="C33" s="16">
        <v>1541.25</v>
      </c>
      <c r="D33" s="16">
        <v>1543.75</v>
      </c>
      <c r="E33" s="16">
        <v>3299.25</v>
      </c>
      <c r="F33" s="16">
        <v>6136</v>
      </c>
      <c r="G33" s="16">
        <v>6571.25</v>
      </c>
      <c r="H33" s="47">
        <v>2725.5</v>
      </c>
      <c r="I33" s="47">
        <v>4117.3999999999996</v>
      </c>
      <c r="J33" s="90">
        <v>5211.9399999999996</v>
      </c>
      <c r="K33" s="104">
        <v>3800</v>
      </c>
      <c r="L33" s="37">
        <v>4000</v>
      </c>
      <c r="M33" s="37"/>
      <c r="N33" s="37">
        <v>6200</v>
      </c>
      <c r="O33" s="114">
        <v>6400</v>
      </c>
      <c r="P33" s="117">
        <f t="shared" ref="P33" si="3">(O33-J33)/J33</f>
        <v>0.22794966941292502</v>
      </c>
      <c r="Q33" s="23" t="s">
        <v>434</v>
      </c>
      <c r="R33" s="4"/>
      <c r="S33" s="70"/>
    </row>
    <row r="34" spans="1:19" x14ac:dyDescent="0.25">
      <c r="A34" s="55">
        <v>4483</v>
      </c>
      <c r="B34" s="14" t="s">
        <v>26</v>
      </c>
      <c r="C34" s="16">
        <v>945</v>
      </c>
      <c r="D34" s="16">
        <v>1339.5</v>
      </c>
      <c r="E34" s="16">
        <v>2425</v>
      </c>
      <c r="F34" s="16">
        <v>1381.5</v>
      </c>
      <c r="G34" s="16">
        <v>2210.5</v>
      </c>
      <c r="H34" s="47">
        <v>2608</v>
      </c>
      <c r="I34" s="80"/>
      <c r="J34" s="92"/>
      <c r="K34" s="104">
        <v>1800</v>
      </c>
      <c r="L34" s="37">
        <v>500</v>
      </c>
      <c r="M34" s="37"/>
      <c r="N34" s="37">
        <v>800</v>
      </c>
      <c r="O34" s="114">
        <v>1000</v>
      </c>
      <c r="P34" s="117"/>
      <c r="Q34" s="17"/>
      <c r="R34" s="4"/>
      <c r="S34" s="70"/>
    </row>
    <row r="35" spans="1:19" x14ac:dyDescent="0.25">
      <c r="A35" s="55">
        <v>4487</v>
      </c>
      <c r="B35" s="14" t="s">
        <v>27</v>
      </c>
      <c r="C35" s="16"/>
      <c r="D35" s="16">
        <v>4802.6899999999996</v>
      </c>
      <c r="E35" s="16">
        <v>19689.150000000001</v>
      </c>
      <c r="F35" s="16">
        <v>5827</v>
      </c>
      <c r="G35" s="16">
        <v>0</v>
      </c>
      <c r="H35" s="80"/>
      <c r="I35" s="80"/>
      <c r="J35" s="92"/>
      <c r="K35" s="104"/>
      <c r="L35" s="37">
        <v>26000</v>
      </c>
      <c r="M35" s="37"/>
      <c r="N35" s="37">
        <v>0</v>
      </c>
      <c r="O35" s="114">
        <v>10000</v>
      </c>
      <c r="Q35" s="23" t="s">
        <v>433</v>
      </c>
      <c r="R35" s="4"/>
      <c r="S35" s="70"/>
    </row>
    <row r="36" spans="1:19" ht="15.6" x14ac:dyDescent="0.3">
      <c r="A36" s="55"/>
      <c r="B36" s="15" t="s">
        <v>28</v>
      </c>
      <c r="C36" s="19">
        <v>2486.25</v>
      </c>
      <c r="D36" s="19">
        <v>7685.94</v>
      </c>
      <c r="E36" s="19">
        <v>25413.4</v>
      </c>
      <c r="F36" s="19">
        <v>13344.5</v>
      </c>
      <c r="G36" s="19">
        <v>8781.75</v>
      </c>
      <c r="H36" s="19">
        <v>5333.5</v>
      </c>
      <c r="I36" s="19">
        <v>4117.3999999999996</v>
      </c>
      <c r="J36" s="91">
        <v>5211.9399999999996</v>
      </c>
      <c r="K36" s="105">
        <v>5600</v>
      </c>
      <c r="L36" s="19">
        <v>30500</v>
      </c>
      <c r="M36" s="19"/>
      <c r="N36" s="19">
        <v>7000</v>
      </c>
      <c r="O36" s="83">
        <v>17400</v>
      </c>
      <c r="Q36" s="20"/>
      <c r="R36" s="4"/>
      <c r="S36" s="70"/>
    </row>
    <row r="37" spans="1:19" x14ac:dyDescent="0.25">
      <c r="A37" s="55"/>
      <c r="B37" s="14"/>
      <c r="C37" s="16"/>
      <c r="D37" s="16"/>
      <c r="E37" s="16"/>
      <c r="F37" s="16"/>
      <c r="G37" s="16"/>
      <c r="H37" s="16"/>
      <c r="I37" s="16"/>
      <c r="J37" s="89"/>
      <c r="K37" s="104"/>
      <c r="L37" s="37"/>
      <c r="M37" s="37"/>
      <c r="N37" s="37"/>
      <c r="O37" s="82"/>
      <c r="Q37" s="17"/>
      <c r="R37" s="4"/>
      <c r="S37" s="70"/>
    </row>
    <row r="38" spans="1:19" ht="15.6" x14ac:dyDescent="0.3">
      <c r="A38" s="55"/>
      <c r="B38" s="15" t="s">
        <v>29</v>
      </c>
      <c r="C38" s="16"/>
      <c r="D38" s="16"/>
      <c r="E38" s="16"/>
      <c r="F38" s="16"/>
      <c r="G38" s="16"/>
      <c r="H38" s="16"/>
      <c r="I38" s="16"/>
      <c r="J38" s="89"/>
      <c r="K38" s="104"/>
      <c r="L38" s="37"/>
      <c r="M38" s="37"/>
      <c r="N38" s="37"/>
      <c r="O38" s="82"/>
      <c r="Q38" s="17"/>
      <c r="R38" s="4"/>
      <c r="S38" s="70"/>
    </row>
    <row r="39" spans="1:19" x14ac:dyDescent="0.25">
      <c r="A39" s="55">
        <v>4505</v>
      </c>
      <c r="B39" s="18" t="s">
        <v>30</v>
      </c>
      <c r="C39" s="16">
        <v>71892.75</v>
      </c>
      <c r="D39" s="16">
        <v>66733.25</v>
      </c>
      <c r="E39" s="16">
        <v>89157.75</v>
      </c>
      <c r="F39" s="16">
        <v>74965.5</v>
      </c>
      <c r="G39" s="47">
        <v>85805.75</v>
      </c>
      <c r="H39" s="47">
        <v>50786</v>
      </c>
      <c r="I39" s="47">
        <v>93454.65</v>
      </c>
      <c r="J39" s="90">
        <v>69624.06</v>
      </c>
      <c r="K39" s="104">
        <v>68000</v>
      </c>
      <c r="L39" s="37">
        <v>75000</v>
      </c>
      <c r="M39" s="37"/>
      <c r="N39" s="37">
        <v>56250</v>
      </c>
      <c r="O39" s="114">
        <v>76586.466</v>
      </c>
      <c r="P39" s="117">
        <f t="shared" ref="P39:P43" si="4">(O39-J39)/J39</f>
        <v>0.10000000000000005</v>
      </c>
      <c r="Q39" s="23" t="s">
        <v>437</v>
      </c>
      <c r="R39" s="4"/>
      <c r="S39" s="70"/>
    </row>
    <row r="40" spans="1:19" x14ac:dyDescent="0.25">
      <c r="A40" s="55">
        <v>4508</v>
      </c>
      <c r="B40" s="18" t="s">
        <v>31</v>
      </c>
      <c r="C40" s="16">
        <v>10200</v>
      </c>
      <c r="D40" s="16">
        <v>9600</v>
      </c>
      <c r="E40" s="16">
        <v>9215</v>
      </c>
      <c r="F40" s="16">
        <v>7223.3</v>
      </c>
      <c r="G40" s="47">
        <v>9600</v>
      </c>
      <c r="H40" s="80"/>
      <c r="I40" s="80"/>
      <c r="J40" s="92"/>
      <c r="K40" s="104">
        <v>8000</v>
      </c>
      <c r="L40" s="37">
        <v>9000</v>
      </c>
      <c r="M40" s="37"/>
      <c r="N40" s="37">
        <v>10700</v>
      </c>
      <c r="O40" s="114">
        <v>0</v>
      </c>
      <c r="P40" s="117"/>
      <c r="Q40" s="23" t="s">
        <v>436</v>
      </c>
      <c r="R40" s="4"/>
      <c r="S40" s="70"/>
    </row>
    <row r="41" spans="1:19" x14ac:dyDescent="0.25">
      <c r="A41" s="55">
        <v>4510</v>
      </c>
      <c r="B41" s="14" t="s">
        <v>32</v>
      </c>
      <c r="C41" s="16">
        <v>142511.63</v>
      </c>
      <c r="D41" s="16">
        <v>117164.6</v>
      </c>
      <c r="E41" s="16">
        <v>81759.92</v>
      </c>
      <c r="F41" s="16">
        <v>142810.29999999999</v>
      </c>
      <c r="G41" s="47">
        <v>153033.95000000001</v>
      </c>
      <c r="H41" s="47">
        <v>128977.25</v>
      </c>
      <c r="I41" s="47">
        <v>54841.520000000004</v>
      </c>
      <c r="J41" s="90">
        <v>118324.44</v>
      </c>
      <c r="K41" s="104">
        <v>102000</v>
      </c>
      <c r="L41" s="37">
        <v>95000</v>
      </c>
      <c r="M41" s="37"/>
      <c r="N41" s="37">
        <v>108815</v>
      </c>
      <c r="O41" s="114">
        <v>130156.88400000002</v>
      </c>
      <c r="P41" s="117">
        <f t="shared" si="4"/>
        <v>0.10000000000000014</v>
      </c>
      <c r="Q41" s="23" t="s">
        <v>437</v>
      </c>
      <c r="R41" s="4"/>
      <c r="S41" s="70"/>
    </row>
    <row r="42" spans="1:19" x14ac:dyDescent="0.25">
      <c r="A42" s="55">
        <v>4515</v>
      </c>
      <c r="B42" s="14" t="s">
        <v>33</v>
      </c>
      <c r="C42" s="16">
        <v>41274.75</v>
      </c>
      <c r="D42" s="16">
        <v>76063.75</v>
      </c>
      <c r="E42" s="16">
        <v>92751.55</v>
      </c>
      <c r="F42" s="16">
        <v>106886.55</v>
      </c>
      <c r="G42" s="47">
        <v>186130.75</v>
      </c>
      <c r="H42" s="47">
        <v>60119.5</v>
      </c>
      <c r="I42" s="47">
        <v>9426.25</v>
      </c>
      <c r="J42" s="90">
        <v>98076.89</v>
      </c>
      <c r="K42" s="104">
        <v>75000</v>
      </c>
      <c r="L42" s="37">
        <v>120000</v>
      </c>
      <c r="M42" s="37"/>
      <c r="N42" s="37">
        <v>110299</v>
      </c>
      <c r="O42" s="114">
        <v>107884.57900000001</v>
      </c>
      <c r="P42" s="117">
        <f t="shared" si="4"/>
        <v>0.10000000000000013</v>
      </c>
      <c r="Q42" s="23" t="s">
        <v>437</v>
      </c>
      <c r="R42" s="4"/>
      <c r="S42" s="70"/>
    </row>
    <row r="43" spans="1:19" ht="15.6" x14ac:dyDescent="0.3">
      <c r="A43" s="55"/>
      <c r="B43" s="15" t="s">
        <v>34</v>
      </c>
      <c r="C43" s="19">
        <v>265879.13</v>
      </c>
      <c r="D43" s="19">
        <v>269561.59999999998</v>
      </c>
      <c r="E43" s="19">
        <v>272884.21999999997</v>
      </c>
      <c r="F43" s="19">
        <v>331885.64999999997</v>
      </c>
      <c r="G43" s="19">
        <v>434570.45</v>
      </c>
      <c r="H43" s="19">
        <v>239882.75</v>
      </c>
      <c r="I43" s="19">
        <v>157722.41999999998</v>
      </c>
      <c r="J43" s="91">
        <v>286025.39</v>
      </c>
      <c r="K43" s="105">
        <v>253000</v>
      </c>
      <c r="L43" s="19">
        <v>299000</v>
      </c>
      <c r="M43" s="19"/>
      <c r="N43" s="19">
        <v>286064</v>
      </c>
      <c r="O43" s="83">
        <v>314627.92900000006</v>
      </c>
      <c r="P43" s="117">
        <f t="shared" si="4"/>
        <v>0.10000000000000016</v>
      </c>
      <c r="Q43" s="20"/>
      <c r="R43" s="4"/>
      <c r="S43" s="70"/>
    </row>
    <row r="44" spans="1:19" x14ac:dyDescent="0.25">
      <c r="A44" s="55"/>
      <c r="B44" s="14"/>
      <c r="C44" s="16"/>
      <c r="D44" s="16"/>
      <c r="E44" s="16"/>
      <c r="F44" s="16"/>
      <c r="G44" s="16"/>
      <c r="H44" s="16"/>
      <c r="I44" s="16"/>
      <c r="J44" s="89"/>
      <c r="K44" s="104"/>
      <c r="L44" s="37"/>
      <c r="M44" s="37"/>
      <c r="N44" s="37"/>
      <c r="O44" s="82"/>
      <c r="Q44" s="17"/>
      <c r="R44" s="4"/>
      <c r="S44" s="70"/>
    </row>
    <row r="45" spans="1:19" ht="15.6" x14ac:dyDescent="0.3">
      <c r="A45" s="55"/>
      <c r="B45" s="15" t="s">
        <v>35</v>
      </c>
      <c r="C45" s="16"/>
      <c r="D45" s="16"/>
      <c r="E45" s="16"/>
      <c r="F45" s="16"/>
      <c r="G45" s="16"/>
      <c r="H45" s="16"/>
      <c r="I45" s="16"/>
      <c r="J45" s="89"/>
      <c r="K45" s="104"/>
      <c r="L45" s="37"/>
      <c r="M45" s="37"/>
      <c r="N45" s="37"/>
      <c r="O45" s="82"/>
      <c r="Q45" s="17"/>
      <c r="R45" s="4"/>
      <c r="S45" s="70"/>
    </row>
    <row r="46" spans="1:19" x14ac:dyDescent="0.25">
      <c r="A46" s="55">
        <v>4535</v>
      </c>
      <c r="B46" s="14" t="s">
        <v>30</v>
      </c>
      <c r="C46" s="16">
        <v>57315.01</v>
      </c>
      <c r="D46" s="16">
        <v>46241.5</v>
      </c>
      <c r="E46" s="16">
        <v>39812.800000000003</v>
      </c>
      <c r="F46" s="16">
        <v>33805</v>
      </c>
      <c r="G46" s="47">
        <v>38964.25</v>
      </c>
      <c r="H46" s="47">
        <v>28670.5</v>
      </c>
      <c r="I46" s="47">
        <v>11072.5</v>
      </c>
      <c r="J46" s="90">
        <v>26222</v>
      </c>
      <c r="K46" s="104">
        <v>35000</v>
      </c>
      <c r="L46" s="37">
        <v>26000</v>
      </c>
      <c r="M46" s="37"/>
      <c r="N46" s="37">
        <v>34896</v>
      </c>
      <c r="O46" s="114">
        <v>28844.2</v>
      </c>
      <c r="P46" s="117">
        <f t="shared" ref="P46:P51" si="5">(O46-J46)/J46</f>
        <v>0.10000000000000003</v>
      </c>
      <c r="Q46" s="23" t="s">
        <v>437</v>
      </c>
      <c r="R46" s="4"/>
      <c r="S46" s="70"/>
    </row>
    <row r="47" spans="1:19" x14ac:dyDescent="0.25">
      <c r="A47" s="55">
        <v>4540</v>
      </c>
      <c r="B47" s="14" t="s">
        <v>32</v>
      </c>
      <c r="C47" s="16">
        <v>6990</v>
      </c>
      <c r="D47" s="16">
        <v>12130</v>
      </c>
      <c r="E47" s="16">
        <v>8368.25</v>
      </c>
      <c r="F47" s="16">
        <v>13228</v>
      </c>
      <c r="G47" s="47">
        <v>23069</v>
      </c>
      <c r="H47" s="47">
        <v>13906.75</v>
      </c>
      <c r="I47" s="47">
        <v>4254</v>
      </c>
      <c r="J47" s="90">
        <v>18862.689999999999</v>
      </c>
      <c r="K47" s="104">
        <v>13000</v>
      </c>
      <c r="L47" s="37">
        <v>15000</v>
      </c>
      <c r="M47" s="37"/>
      <c r="N47" s="37">
        <v>21952</v>
      </c>
      <c r="O47" s="114">
        <v>20748.958999999999</v>
      </c>
      <c r="P47" s="117">
        <f t="shared" si="5"/>
        <v>0.10000000000000002</v>
      </c>
      <c r="Q47" s="23" t="s">
        <v>437</v>
      </c>
      <c r="R47" s="4"/>
      <c r="S47" s="70"/>
    </row>
    <row r="48" spans="1:19" x14ac:dyDescent="0.25">
      <c r="A48" s="55">
        <v>4545</v>
      </c>
      <c r="B48" s="14" t="s">
        <v>33</v>
      </c>
      <c r="C48" s="16">
        <v>11520.5</v>
      </c>
      <c r="D48" s="16">
        <v>6392.5</v>
      </c>
      <c r="E48" s="16">
        <v>7801</v>
      </c>
      <c r="F48" s="16">
        <v>8647</v>
      </c>
      <c r="G48" s="47">
        <v>10597.25</v>
      </c>
      <c r="H48" s="47">
        <v>3856</v>
      </c>
      <c r="I48" s="47">
        <v>1576</v>
      </c>
      <c r="J48" s="90">
        <v>11957.75</v>
      </c>
      <c r="K48" s="104">
        <v>6500</v>
      </c>
      <c r="L48" s="37">
        <v>8500</v>
      </c>
      <c r="M48" s="37"/>
      <c r="N48" s="37">
        <v>7710</v>
      </c>
      <c r="O48" s="114">
        <v>13153.525000000001</v>
      </c>
      <c r="P48" s="117">
        <f t="shared" si="5"/>
        <v>0.10000000000000012</v>
      </c>
      <c r="Q48" s="23" t="s">
        <v>437</v>
      </c>
      <c r="R48" s="4"/>
      <c r="S48" s="70"/>
    </row>
    <row r="49" spans="1:19" x14ac:dyDescent="0.25">
      <c r="A49" s="55">
        <v>4548</v>
      </c>
      <c r="B49" s="14" t="s">
        <v>36</v>
      </c>
      <c r="C49" s="16">
        <v>249</v>
      </c>
      <c r="D49" s="16">
        <v>705.8</v>
      </c>
      <c r="E49" s="16">
        <v>413</v>
      </c>
      <c r="F49" s="16">
        <v>118</v>
      </c>
      <c r="G49" s="47">
        <v>141</v>
      </c>
      <c r="H49" s="47">
        <v>212</v>
      </c>
      <c r="I49" s="47">
        <v>842</v>
      </c>
      <c r="J49" s="90">
        <v>225</v>
      </c>
      <c r="K49" s="104">
        <v>300</v>
      </c>
      <c r="L49" s="37">
        <v>300</v>
      </c>
      <c r="M49" s="37"/>
      <c r="N49" s="37">
        <v>300</v>
      </c>
      <c r="O49" s="114">
        <v>800</v>
      </c>
      <c r="P49" s="117">
        <f t="shared" si="5"/>
        <v>2.5555555555555554</v>
      </c>
      <c r="Q49" s="23" t="s">
        <v>438</v>
      </c>
      <c r="R49" s="4"/>
      <c r="S49" s="70"/>
    </row>
    <row r="50" spans="1:19" x14ac:dyDescent="0.25">
      <c r="A50" s="55">
        <v>4550</v>
      </c>
      <c r="B50" s="14" t="s">
        <v>37</v>
      </c>
      <c r="C50" s="16">
        <v>2632.5</v>
      </c>
      <c r="D50" s="16">
        <v>2080.5</v>
      </c>
      <c r="E50" s="16">
        <v>2139</v>
      </c>
      <c r="F50" s="16">
        <v>1813</v>
      </c>
      <c r="G50" s="47">
        <v>2119</v>
      </c>
      <c r="H50" s="47">
        <v>2321</v>
      </c>
      <c r="I50" s="47">
        <v>1200.5</v>
      </c>
      <c r="J50" s="90">
        <v>2596.6899999999996</v>
      </c>
      <c r="K50" s="104">
        <v>2200</v>
      </c>
      <c r="L50" s="37">
        <v>2200</v>
      </c>
      <c r="M50" s="37"/>
      <c r="N50" s="37">
        <v>2200</v>
      </c>
      <c r="O50" s="114">
        <v>2600</v>
      </c>
      <c r="P50" s="117">
        <f t="shared" si="5"/>
        <v>1.2746997138666535E-3</v>
      </c>
      <c r="Q50" s="23" t="s">
        <v>437</v>
      </c>
      <c r="R50" s="4"/>
      <c r="S50" s="70"/>
    </row>
    <row r="51" spans="1:19" x14ac:dyDescent="0.25">
      <c r="A51" s="55">
        <v>4560</v>
      </c>
      <c r="B51" s="21" t="s">
        <v>170</v>
      </c>
      <c r="C51" s="16">
        <v>54</v>
      </c>
      <c r="D51" s="16">
        <v>8340</v>
      </c>
      <c r="E51" s="16">
        <v>4570</v>
      </c>
      <c r="F51" s="16">
        <v>7122</v>
      </c>
      <c r="G51" s="47">
        <v>4256</v>
      </c>
      <c r="H51" s="47">
        <v>2300</v>
      </c>
      <c r="I51" s="47">
        <v>3066</v>
      </c>
      <c r="J51" s="90">
        <v>2987.6899999999996</v>
      </c>
      <c r="K51" s="104">
        <v>7350</v>
      </c>
      <c r="L51" s="37">
        <v>4600</v>
      </c>
      <c r="M51" s="37"/>
      <c r="N51" s="37">
        <v>4000</v>
      </c>
      <c r="O51" s="114">
        <v>3286.4589999999998</v>
      </c>
      <c r="P51" s="117">
        <f t="shared" si="5"/>
        <v>0.10000000000000009</v>
      </c>
      <c r="Q51" s="23" t="s">
        <v>437</v>
      </c>
      <c r="R51" s="4"/>
      <c r="S51" s="70"/>
    </row>
    <row r="52" spans="1:19" ht="15.6" x14ac:dyDescent="0.3">
      <c r="A52" s="55"/>
      <c r="B52" s="15" t="s">
        <v>38</v>
      </c>
      <c r="C52" s="19">
        <v>78761.010000000009</v>
      </c>
      <c r="D52" s="19">
        <v>75890.3</v>
      </c>
      <c r="E52" s="19">
        <v>63104.05</v>
      </c>
      <c r="F52" s="19">
        <v>64733</v>
      </c>
      <c r="G52" s="19">
        <v>79146.5</v>
      </c>
      <c r="H52" s="19">
        <v>51266.25</v>
      </c>
      <c r="I52" s="19">
        <v>22011</v>
      </c>
      <c r="J52" s="91">
        <v>62851.820000000007</v>
      </c>
      <c r="K52" s="105">
        <v>64350</v>
      </c>
      <c r="L52" s="19">
        <v>56600</v>
      </c>
      <c r="M52" s="19"/>
      <c r="N52" s="19">
        <v>71058</v>
      </c>
      <c r="O52" s="83">
        <v>69433.143000000011</v>
      </c>
      <c r="P52" s="117"/>
      <c r="Q52" s="20"/>
      <c r="R52" s="4"/>
      <c r="S52" s="70"/>
    </row>
    <row r="53" spans="1:19" ht="15.6" x14ac:dyDescent="0.3">
      <c r="A53" s="55"/>
      <c r="B53" s="22"/>
      <c r="C53" s="16"/>
      <c r="D53" s="16"/>
      <c r="E53" s="16"/>
      <c r="F53" s="16"/>
      <c r="G53" s="16"/>
      <c r="H53" s="16"/>
      <c r="I53" s="16"/>
      <c r="J53" s="89"/>
      <c r="K53" s="104" t="s">
        <v>39</v>
      </c>
      <c r="L53" s="37"/>
      <c r="M53" s="37"/>
      <c r="N53" s="37"/>
      <c r="O53" s="82"/>
      <c r="Q53" s="17"/>
      <c r="R53" s="4"/>
      <c r="S53" s="70"/>
    </row>
    <row r="54" spans="1:19" ht="15.6" x14ac:dyDescent="0.3">
      <c r="A54" s="55"/>
      <c r="B54" s="15" t="s">
        <v>40</v>
      </c>
      <c r="C54" s="16"/>
      <c r="D54" s="16"/>
      <c r="E54" s="16"/>
      <c r="F54" s="16"/>
      <c r="G54" s="16"/>
      <c r="H54" s="16"/>
      <c r="I54" s="16"/>
      <c r="J54" s="89"/>
      <c r="K54" s="104"/>
      <c r="L54" s="37"/>
      <c r="M54" s="37"/>
      <c r="N54" s="37"/>
      <c r="O54" s="82"/>
      <c r="Q54" s="17"/>
      <c r="R54" s="4"/>
      <c r="S54" s="70"/>
    </row>
    <row r="55" spans="1:19" x14ac:dyDescent="0.25">
      <c r="A55" s="55">
        <v>4602</v>
      </c>
      <c r="B55" s="14" t="s">
        <v>41</v>
      </c>
      <c r="C55" s="16">
        <v>77.5</v>
      </c>
      <c r="D55" s="16">
        <v>0</v>
      </c>
      <c r="E55" s="16">
        <v>2125.2600000000002</v>
      </c>
      <c r="F55" s="16">
        <v>1876.19</v>
      </c>
      <c r="G55" s="16">
        <v>1000.6</v>
      </c>
      <c r="H55" s="47">
        <v>1073</v>
      </c>
      <c r="I55" s="47">
        <v>283</v>
      </c>
      <c r="J55" s="90">
        <v>861.30999999999983</v>
      </c>
      <c r="K55" s="104">
        <v>2000</v>
      </c>
      <c r="L55" s="37">
        <v>1200</v>
      </c>
      <c r="M55" s="37"/>
      <c r="N55" s="37">
        <v>800</v>
      </c>
      <c r="O55" s="82">
        <v>1500</v>
      </c>
      <c r="P55" s="117">
        <f t="shared" ref="P55:P57" si="6">(O55-J55)/J55</f>
        <v>0.74153324586966396</v>
      </c>
      <c r="Q55" s="23" t="s">
        <v>440</v>
      </c>
      <c r="R55" s="4"/>
      <c r="S55" s="70"/>
    </row>
    <row r="56" spans="1:19" x14ac:dyDescent="0.25">
      <c r="A56" s="55">
        <v>4604</v>
      </c>
      <c r="B56" s="21" t="s">
        <v>171</v>
      </c>
      <c r="C56" s="16">
        <v>748.84</v>
      </c>
      <c r="D56" s="16">
        <v>5454</v>
      </c>
      <c r="E56" s="16">
        <v>12735</v>
      </c>
      <c r="F56" s="16">
        <v>17948</v>
      </c>
      <c r="G56" s="16">
        <v>16127.95</v>
      </c>
      <c r="H56" s="47">
        <v>14154.06</v>
      </c>
      <c r="I56" s="47">
        <v>5920.92</v>
      </c>
      <c r="J56" s="90">
        <v>12178.18</v>
      </c>
      <c r="K56" s="104">
        <v>15000</v>
      </c>
      <c r="L56" s="37">
        <v>15000</v>
      </c>
      <c r="M56" s="37"/>
      <c r="N56" s="37">
        <v>13500</v>
      </c>
      <c r="O56" s="82">
        <v>14004.906999999999</v>
      </c>
      <c r="P56" s="117">
        <f t="shared" si="6"/>
        <v>0.14999999999999991</v>
      </c>
      <c r="Q56" s="23" t="s">
        <v>439</v>
      </c>
      <c r="R56" s="4"/>
      <c r="S56" s="70"/>
    </row>
    <row r="57" spans="1:19" x14ac:dyDescent="0.25">
      <c r="A57" s="55">
        <v>4605</v>
      </c>
      <c r="B57" s="21" t="s">
        <v>172</v>
      </c>
      <c r="C57" s="16">
        <v>5285.44</v>
      </c>
      <c r="D57" s="16">
        <v>9531.3700000000008</v>
      </c>
      <c r="E57" s="16">
        <v>7616.17</v>
      </c>
      <c r="F57" s="16">
        <v>8481.18</v>
      </c>
      <c r="G57" s="16">
        <v>8572.44</v>
      </c>
      <c r="H57" s="47">
        <v>4381.46</v>
      </c>
      <c r="I57" s="47">
        <v>1582.2400000000002</v>
      </c>
      <c r="J57" s="90">
        <v>5143.88</v>
      </c>
      <c r="K57" s="104">
        <v>8200</v>
      </c>
      <c r="L57" s="37">
        <v>8500</v>
      </c>
      <c r="M57" s="37"/>
      <c r="N57" s="37">
        <v>7500</v>
      </c>
      <c r="O57" s="82">
        <v>7500</v>
      </c>
      <c r="P57" s="117">
        <f t="shared" si="6"/>
        <v>0.45804334471255159</v>
      </c>
      <c r="Q57" s="23" t="s">
        <v>439</v>
      </c>
      <c r="R57" s="4"/>
      <c r="S57" s="70"/>
    </row>
    <row r="58" spans="1:19" x14ac:dyDescent="0.25">
      <c r="A58" s="55">
        <v>4609</v>
      </c>
      <c r="B58" s="14" t="s">
        <v>42</v>
      </c>
      <c r="C58" s="16">
        <v>36</v>
      </c>
      <c r="D58" s="16">
        <v>72</v>
      </c>
      <c r="E58" s="16">
        <v>72</v>
      </c>
      <c r="F58" s="16">
        <v>72</v>
      </c>
      <c r="G58" s="16">
        <v>0</v>
      </c>
      <c r="H58" s="47">
        <v>289.56</v>
      </c>
      <c r="I58" s="47">
        <v>72</v>
      </c>
      <c r="J58" s="92"/>
      <c r="K58" s="104">
        <v>72</v>
      </c>
      <c r="L58" s="37">
        <v>0</v>
      </c>
      <c r="M58" s="37"/>
      <c r="N58" s="37"/>
      <c r="O58" s="82">
        <v>0</v>
      </c>
      <c r="Q58" s="17"/>
      <c r="R58" s="4"/>
      <c r="S58" s="70"/>
    </row>
    <row r="59" spans="1:19" x14ac:dyDescent="0.25">
      <c r="A59" s="55">
        <v>4683</v>
      </c>
      <c r="B59" s="14" t="s">
        <v>43</v>
      </c>
      <c r="C59" s="16"/>
      <c r="D59" s="16"/>
      <c r="E59" s="16">
        <v>25300</v>
      </c>
      <c r="F59" s="16">
        <v>11145</v>
      </c>
      <c r="G59" s="47">
        <v>2500</v>
      </c>
      <c r="H59" s="80"/>
      <c r="I59" s="80"/>
      <c r="J59" s="92"/>
      <c r="K59" s="104"/>
      <c r="L59" s="37">
        <v>0</v>
      </c>
      <c r="M59" s="37"/>
      <c r="N59" s="37"/>
      <c r="O59" s="82">
        <v>0</v>
      </c>
      <c r="Q59" s="17"/>
      <c r="R59" s="4"/>
      <c r="S59" s="70"/>
    </row>
    <row r="60" spans="1:19" x14ac:dyDescent="0.25">
      <c r="A60" s="55">
        <v>4681</v>
      </c>
      <c r="B60" s="21" t="s">
        <v>177</v>
      </c>
      <c r="C60" s="16">
        <v>13000</v>
      </c>
      <c r="D60" s="16">
        <v>0</v>
      </c>
      <c r="E60" s="16"/>
      <c r="F60" s="16">
        <v>-806.67</v>
      </c>
      <c r="G60" s="16">
        <v>0</v>
      </c>
      <c r="H60" s="47"/>
      <c r="I60" s="47"/>
      <c r="J60" s="90">
        <v>18555.830000000002</v>
      </c>
      <c r="K60" s="104"/>
      <c r="L60" s="37">
        <v>0</v>
      </c>
      <c r="M60" s="37"/>
      <c r="N60" s="37">
        <v>10000</v>
      </c>
      <c r="O60" s="82">
        <v>0</v>
      </c>
      <c r="P60" s="117">
        <f t="shared" ref="P60" si="7">(O60-J60)/J60</f>
        <v>-1</v>
      </c>
      <c r="Q60" s="17"/>
      <c r="R60" s="4"/>
      <c r="S60" s="70"/>
    </row>
    <row r="61" spans="1:19" x14ac:dyDescent="0.25">
      <c r="A61" s="129">
        <v>4660</v>
      </c>
      <c r="B61" s="130" t="s">
        <v>166</v>
      </c>
      <c r="C61" s="16"/>
      <c r="D61" s="16"/>
      <c r="E61" s="16"/>
      <c r="F61" s="16"/>
      <c r="G61" s="47">
        <v>24283.8</v>
      </c>
      <c r="H61" s="47">
        <v>17016.32</v>
      </c>
      <c r="I61" s="47">
        <v>10245.869999999999</v>
      </c>
      <c r="J61" s="90"/>
      <c r="K61" s="104"/>
      <c r="L61" s="37">
        <v>5000</v>
      </c>
      <c r="M61" s="37"/>
      <c r="N61" s="37">
        <v>14000</v>
      </c>
      <c r="O61" s="114">
        <v>2400</v>
      </c>
      <c r="P61" s="117"/>
      <c r="Q61" s="23" t="s">
        <v>453</v>
      </c>
      <c r="R61" s="4"/>
      <c r="S61" s="70"/>
    </row>
    <row r="62" spans="1:19" x14ac:dyDescent="0.25">
      <c r="A62" s="129" t="s">
        <v>175</v>
      </c>
      <c r="B62" s="130" t="s">
        <v>167</v>
      </c>
      <c r="C62" s="16"/>
      <c r="D62" s="16"/>
      <c r="E62" s="16"/>
      <c r="F62" s="16"/>
      <c r="G62" s="47">
        <v>4645</v>
      </c>
      <c r="H62" s="80"/>
      <c r="I62" s="80"/>
      <c r="J62" s="92">
        <v>4578</v>
      </c>
      <c r="K62" s="104"/>
      <c r="L62" s="37">
        <v>4500</v>
      </c>
      <c r="M62" s="37"/>
      <c r="N62" s="37">
        <v>100</v>
      </c>
      <c r="O62" s="114">
        <v>5200</v>
      </c>
      <c r="P62" s="117"/>
      <c r="Q62" s="23" t="s">
        <v>453</v>
      </c>
      <c r="R62" s="4"/>
      <c r="S62" s="70"/>
    </row>
    <row r="63" spans="1:19" ht="15.6" x14ac:dyDescent="0.3">
      <c r="A63" s="55"/>
      <c r="B63" s="15" t="s">
        <v>44</v>
      </c>
      <c r="C63" s="19">
        <v>19147.78</v>
      </c>
      <c r="D63" s="19">
        <v>15057.37</v>
      </c>
      <c r="E63" s="19">
        <v>47848.43</v>
      </c>
      <c r="F63" s="19">
        <v>38715.699999999997</v>
      </c>
      <c r="G63" s="19">
        <v>57129.789999999994</v>
      </c>
      <c r="H63" s="19">
        <v>36914.400000000001</v>
      </c>
      <c r="I63" s="19">
        <v>18104.03</v>
      </c>
      <c r="J63" s="91">
        <v>41317.199999999997</v>
      </c>
      <c r="K63" s="105">
        <v>25272</v>
      </c>
      <c r="L63" s="19">
        <v>34200</v>
      </c>
      <c r="M63" s="19"/>
      <c r="N63" s="19">
        <v>45900</v>
      </c>
      <c r="O63" s="83">
        <v>30604.906999999999</v>
      </c>
      <c r="Q63" s="20"/>
      <c r="R63" s="4"/>
      <c r="S63" s="70"/>
    </row>
    <row r="64" spans="1:19" x14ac:dyDescent="0.25">
      <c r="A64" s="55"/>
      <c r="B64" s="14"/>
      <c r="C64" s="16"/>
      <c r="D64" s="16"/>
      <c r="E64" s="16"/>
      <c r="F64" s="16"/>
      <c r="G64" s="16"/>
      <c r="H64" s="16"/>
      <c r="I64" s="16"/>
      <c r="J64" s="89"/>
      <c r="K64" s="104"/>
      <c r="L64" s="37"/>
      <c r="M64" s="37"/>
      <c r="N64" s="37"/>
      <c r="O64" s="82"/>
      <c r="Q64" s="17"/>
      <c r="R64" s="4"/>
      <c r="S64" s="70"/>
    </row>
    <row r="65" spans="1:19" ht="15.6" x14ac:dyDescent="0.3">
      <c r="A65" s="55"/>
      <c r="B65" s="15" t="s">
        <v>45</v>
      </c>
      <c r="C65" s="16"/>
      <c r="D65" s="16"/>
      <c r="E65" s="16"/>
      <c r="F65" s="16"/>
      <c r="G65" s="16"/>
      <c r="H65" s="16"/>
      <c r="I65" s="16"/>
      <c r="J65" s="89"/>
      <c r="K65" s="104"/>
      <c r="L65" s="37"/>
      <c r="M65" s="37"/>
      <c r="N65" s="37"/>
      <c r="O65" s="82"/>
      <c r="Q65" s="17"/>
      <c r="R65" s="4"/>
      <c r="S65" s="70"/>
    </row>
    <row r="66" spans="1:19" x14ac:dyDescent="0.25">
      <c r="A66" s="55">
        <v>4880</v>
      </c>
      <c r="B66" s="14" t="s">
        <v>46</v>
      </c>
      <c r="C66" s="16">
        <v>247.38</v>
      </c>
      <c r="D66" s="16">
        <v>118.88</v>
      </c>
      <c r="E66" s="16">
        <v>2134.41</v>
      </c>
      <c r="F66" s="16">
        <v>9254</v>
      </c>
      <c r="G66" s="47">
        <v>17100.419999999998</v>
      </c>
      <c r="H66" s="47">
        <v>-10696.39</v>
      </c>
      <c r="I66" s="47">
        <v>-768.59</v>
      </c>
      <c r="J66" s="90">
        <v>-264.78999999999996</v>
      </c>
      <c r="K66" s="104">
        <v>12500</v>
      </c>
      <c r="L66" s="37">
        <v>18750</v>
      </c>
      <c r="M66" s="37"/>
      <c r="N66" s="37">
        <v>11875</v>
      </c>
      <c r="O66" s="82">
        <v>15758.07</v>
      </c>
      <c r="P66" s="117"/>
      <c r="Q66" s="17" t="s">
        <v>425</v>
      </c>
      <c r="R66" s="4"/>
      <c r="S66" s="70"/>
    </row>
    <row r="67" spans="1:19" x14ac:dyDescent="0.25">
      <c r="A67" s="55">
        <v>4881</v>
      </c>
      <c r="B67" s="14" t="s">
        <v>431</v>
      </c>
      <c r="C67" s="16"/>
      <c r="D67" s="16"/>
      <c r="E67" s="16"/>
      <c r="F67" s="16"/>
      <c r="G67" s="47"/>
      <c r="H67" s="47">
        <v>14399.00999999998</v>
      </c>
      <c r="I67" s="47">
        <v>272128.42000000004</v>
      </c>
      <c r="J67" s="90">
        <v>76648.34</v>
      </c>
      <c r="K67" s="104"/>
      <c r="L67" s="37"/>
      <c r="M67" s="37"/>
      <c r="N67" s="37"/>
      <c r="O67" s="82">
        <v>47305.08</v>
      </c>
      <c r="P67" s="117"/>
      <c r="Q67" s="23" t="s">
        <v>432</v>
      </c>
      <c r="R67" s="4"/>
      <c r="S67" s="70"/>
    </row>
    <row r="68" spans="1:19" ht="15.6" x14ac:dyDescent="0.3">
      <c r="A68" s="55"/>
      <c r="B68" s="15" t="s">
        <v>47</v>
      </c>
      <c r="C68" s="83">
        <v>247.38</v>
      </c>
      <c r="D68" s="83">
        <v>118.88</v>
      </c>
      <c r="E68" s="83">
        <v>2134.41</v>
      </c>
      <c r="F68" s="83">
        <v>9254</v>
      </c>
      <c r="G68" s="83">
        <v>17100.419999999998</v>
      </c>
      <c r="H68" s="83">
        <v>3702.6199999999808</v>
      </c>
      <c r="I68" s="83">
        <v>271359.83</v>
      </c>
      <c r="J68" s="83">
        <v>76383.55</v>
      </c>
      <c r="K68" s="83">
        <v>12500</v>
      </c>
      <c r="L68" s="83">
        <v>18750</v>
      </c>
      <c r="M68" s="83">
        <v>0</v>
      </c>
      <c r="N68" s="83">
        <v>11875</v>
      </c>
      <c r="O68" s="83">
        <v>63063.15</v>
      </c>
      <c r="P68" s="117"/>
      <c r="Q68" s="17"/>
      <c r="R68" s="4"/>
      <c r="S68" s="70"/>
    </row>
    <row r="69" spans="1:19" x14ac:dyDescent="0.25">
      <c r="A69" s="55"/>
      <c r="B69" s="14"/>
      <c r="C69" s="16"/>
      <c r="D69" s="16"/>
      <c r="E69" s="16"/>
      <c r="F69" s="16"/>
      <c r="G69" s="16"/>
      <c r="H69" s="16"/>
      <c r="I69" s="16"/>
      <c r="J69" s="89"/>
      <c r="K69" s="104"/>
      <c r="L69" s="37">
        <v>0</v>
      </c>
      <c r="M69" s="37"/>
      <c r="N69" s="37"/>
      <c r="O69" s="82"/>
      <c r="Q69" s="17"/>
      <c r="R69" s="4"/>
      <c r="S69" s="70"/>
    </row>
    <row r="70" spans="1:19" ht="15.6" x14ac:dyDescent="0.3">
      <c r="A70" s="55"/>
      <c r="B70" s="24" t="s">
        <v>48</v>
      </c>
      <c r="C70" s="25">
        <v>1328235.3399999999</v>
      </c>
      <c r="D70" s="25">
        <v>1182455.45</v>
      </c>
      <c r="E70" s="25">
        <v>1261194.4999999998</v>
      </c>
      <c r="F70" s="25">
        <v>1344157.8499999999</v>
      </c>
      <c r="G70" s="25">
        <v>1568416.56</v>
      </c>
      <c r="H70" s="25">
        <v>1412422.2999999996</v>
      </c>
      <c r="I70" s="25">
        <v>1467874.2500000002</v>
      </c>
      <c r="J70" s="93">
        <v>1360396.91</v>
      </c>
      <c r="K70" s="107">
        <v>1240272</v>
      </c>
      <c r="L70" s="25">
        <v>1337186</v>
      </c>
      <c r="M70" s="25"/>
      <c r="N70" s="25">
        <v>1281497</v>
      </c>
      <c r="O70" s="84">
        <v>1454638.8868930915</v>
      </c>
      <c r="P70" s="117">
        <f t="shared" ref="P70" si="8">(O70-J70)/J70</f>
        <v>6.9275353538616594E-2</v>
      </c>
      <c r="Q70" s="25"/>
      <c r="R70" s="125"/>
      <c r="S70" s="70"/>
    </row>
    <row r="71" spans="1:19" ht="15.6" x14ac:dyDescent="0.3">
      <c r="A71" s="55"/>
      <c r="B71" s="24"/>
      <c r="C71" s="25"/>
      <c r="D71" s="25"/>
      <c r="E71" s="54"/>
      <c r="F71" s="54"/>
      <c r="G71" s="54"/>
      <c r="H71" s="54"/>
      <c r="I71" s="54"/>
      <c r="J71" s="94"/>
      <c r="K71" s="107"/>
      <c r="L71" s="25"/>
      <c r="M71" s="25"/>
      <c r="N71" s="25"/>
      <c r="O71" s="85"/>
      <c r="Q71" s="25"/>
      <c r="R71" s="53"/>
      <c r="S71" s="70"/>
    </row>
    <row r="72" spans="1:19" ht="15.6" x14ac:dyDescent="0.3">
      <c r="A72" s="62" t="s">
        <v>168</v>
      </c>
      <c r="B72" s="59"/>
      <c r="C72" s="60"/>
      <c r="D72" s="60"/>
      <c r="E72" s="61"/>
      <c r="F72" s="61"/>
      <c r="G72" s="61"/>
      <c r="H72" s="61"/>
      <c r="I72" s="61"/>
      <c r="J72" s="95"/>
      <c r="K72" s="108"/>
      <c r="L72" s="60"/>
      <c r="M72" s="60"/>
      <c r="N72" s="60"/>
      <c r="O72" s="60"/>
      <c r="P72" s="63"/>
      <c r="Q72" s="60"/>
      <c r="R72" s="53"/>
      <c r="S72" s="70"/>
    </row>
    <row r="73" spans="1:19" ht="15.6" x14ac:dyDescent="0.3">
      <c r="A73" s="55"/>
      <c r="B73" s="15" t="s">
        <v>49</v>
      </c>
      <c r="C73" s="16"/>
      <c r="D73" s="16"/>
      <c r="E73" s="16"/>
      <c r="F73" s="16"/>
      <c r="G73" s="16"/>
      <c r="H73" s="16"/>
      <c r="I73" s="16"/>
      <c r="J73" s="89"/>
      <c r="K73" s="104"/>
      <c r="L73" s="37">
        <v>0</v>
      </c>
      <c r="M73" s="37"/>
      <c r="N73" s="37"/>
      <c r="O73" s="82"/>
      <c r="Q73" s="23" t="s">
        <v>180</v>
      </c>
      <c r="R73" s="4"/>
      <c r="S73" s="70"/>
    </row>
    <row r="74" spans="1:19" x14ac:dyDescent="0.25">
      <c r="A74" s="55">
        <v>6011</v>
      </c>
      <c r="B74" s="14" t="s">
        <v>50</v>
      </c>
      <c r="C74" s="16">
        <v>971.47</v>
      </c>
      <c r="D74" s="16">
        <v>916.14</v>
      </c>
      <c r="E74" s="16">
        <v>819.02</v>
      </c>
      <c r="F74" s="16">
        <v>1244</v>
      </c>
      <c r="G74" s="47">
        <v>899.93</v>
      </c>
      <c r="H74" s="47">
        <v>376.11</v>
      </c>
      <c r="I74" s="47">
        <v>0</v>
      </c>
      <c r="J74" s="92">
        <v>0</v>
      </c>
      <c r="K74" s="104">
        <v>950</v>
      </c>
      <c r="L74" s="37">
        <v>1200</v>
      </c>
      <c r="M74" s="37"/>
      <c r="N74" s="37">
        <v>1200</v>
      </c>
      <c r="O74" s="82">
        <v>0</v>
      </c>
      <c r="P74" s="117"/>
      <c r="Q74" s="23" t="s">
        <v>420</v>
      </c>
      <c r="R74" s="4"/>
      <c r="S74" s="70"/>
    </row>
    <row r="75" spans="1:19" x14ac:dyDescent="0.25">
      <c r="A75" s="55">
        <v>6012</v>
      </c>
      <c r="B75" s="14" t="s">
        <v>51</v>
      </c>
      <c r="C75" s="16">
        <v>289351.36</v>
      </c>
      <c r="D75" s="16">
        <v>276190.42</v>
      </c>
      <c r="E75" s="16">
        <v>242872.82</v>
      </c>
      <c r="F75" s="16">
        <v>269753</v>
      </c>
      <c r="G75" s="47">
        <v>296560.69999999995</v>
      </c>
      <c r="H75" s="47">
        <v>221185.63999999996</v>
      </c>
      <c r="I75" s="47">
        <v>160257.64000000001</v>
      </c>
      <c r="J75" s="90">
        <v>234310.31</v>
      </c>
      <c r="K75" s="104">
        <v>272000</v>
      </c>
      <c r="L75" s="37">
        <v>276422</v>
      </c>
      <c r="M75" s="37"/>
      <c r="N75" s="37">
        <v>268500</v>
      </c>
      <c r="O75" s="82">
        <v>269456.85649999999</v>
      </c>
      <c r="P75" s="117">
        <f t="shared" ref="P75:P80" si="9">(O75-J75)/J75</f>
        <v>0.15</v>
      </c>
      <c r="Q75" s="23" t="s">
        <v>421</v>
      </c>
      <c r="R75" s="4"/>
      <c r="S75" s="70"/>
    </row>
    <row r="76" spans="1:19" x14ac:dyDescent="0.25">
      <c r="A76" s="55">
        <v>6014</v>
      </c>
      <c r="B76" s="14" t="s">
        <v>52</v>
      </c>
      <c r="C76" s="16"/>
      <c r="D76" s="16">
        <v>180.24</v>
      </c>
      <c r="E76" s="16">
        <v>116.93</v>
      </c>
      <c r="F76" s="16">
        <v>350</v>
      </c>
      <c r="G76" s="47">
        <v>270.70999999999998</v>
      </c>
      <c r="H76" s="47">
        <v>458.97</v>
      </c>
      <c r="I76" s="80"/>
      <c r="J76" s="92"/>
      <c r="K76" s="104">
        <v>350</v>
      </c>
      <c r="L76" s="37">
        <v>400</v>
      </c>
      <c r="M76" s="37"/>
      <c r="N76" s="37">
        <v>400</v>
      </c>
      <c r="O76" s="82">
        <v>400</v>
      </c>
      <c r="P76" s="117"/>
      <c r="Q76" s="17"/>
      <c r="R76" s="4"/>
      <c r="S76" s="70"/>
    </row>
    <row r="77" spans="1:19" x14ac:dyDescent="0.25">
      <c r="A77" s="55">
        <v>6015</v>
      </c>
      <c r="B77" s="14" t="s">
        <v>53</v>
      </c>
      <c r="C77" s="16">
        <v>654.17999999999995</v>
      </c>
      <c r="D77" s="16">
        <v>639.79999999999995</v>
      </c>
      <c r="E77" s="16">
        <v>889.16</v>
      </c>
      <c r="F77" s="16">
        <v>772</v>
      </c>
      <c r="G77" s="47">
        <v>423.68999999999994</v>
      </c>
      <c r="H77" s="47">
        <v>1009.9599999999999</v>
      </c>
      <c r="I77" s="47">
        <v>391.23</v>
      </c>
      <c r="J77" s="92">
        <v>0</v>
      </c>
      <c r="K77" s="104">
        <v>900</v>
      </c>
      <c r="L77" s="37">
        <v>900</v>
      </c>
      <c r="M77" s="37"/>
      <c r="N77" s="37">
        <v>900</v>
      </c>
      <c r="O77" s="82">
        <v>0</v>
      </c>
      <c r="P77" s="117"/>
      <c r="Q77" s="23" t="s">
        <v>422</v>
      </c>
      <c r="R77" s="4"/>
      <c r="S77" s="70"/>
    </row>
    <row r="78" spans="1:19" x14ac:dyDescent="0.25">
      <c r="A78" s="55">
        <v>6025</v>
      </c>
      <c r="B78" s="14" t="s">
        <v>54</v>
      </c>
      <c r="C78" s="16">
        <v>2108.54</v>
      </c>
      <c r="D78" s="16">
        <v>2889.24</v>
      </c>
      <c r="E78" s="16">
        <v>1785.28</v>
      </c>
      <c r="F78" s="16">
        <v>1110</v>
      </c>
      <c r="G78" s="47">
        <v>1098.54</v>
      </c>
      <c r="H78" s="47">
        <v>671.27</v>
      </c>
      <c r="I78" s="47">
        <v>666.83</v>
      </c>
      <c r="J78" s="90">
        <v>5446.5</v>
      </c>
      <c r="K78" s="104">
        <v>2100</v>
      </c>
      <c r="L78" s="37">
        <v>25537</v>
      </c>
      <c r="M78" s="37"/>
      <c r="N78" s="37">
        <v>4200</v>
      </c>
      <c r="O78" s="82">
        <v>5718.8249999999998</v>
      </c>
      <c r="P78" s="117">
        <f t="shared" si="9"/>
        <v>4.9999999999999968E-2</v>
      </c>
      <c r="Q78" s="17"/>
      <c r="R78" s="4"/>
      <c r="S78" s="70"/>
    </row>
    <row r="79" spans="1:19" x14ac:dyDescent="0.25">
      <c r="A79" s="55">
        <v>6030</v>
      </c>
      <c r="B79" s="14" t="s">
        <v>55</v>
      </c>
      <c r="C79" s="16">
        <v>4534.09</v>
      </c>
      <c r="D79" s="16">
        <v>4497.01</v>
      </c>
      <c r="E79" s="16">
        <v>3565.72</v>
      </c>
      <c r="F79" s="16">
        <v>5481</v>
      </c>
      <c r="G79" s="47">
        <v>8391.4499999999989</v>
      </c>
      <c r="H79" s="47">
        <v>3042.9700000000003</v>
      </c>
      <c r="I79" s="47">
        <v>1377.96</v>
      </c>
      <c r="J79" s="90">
        <v>2317.6499999999996</v>
      </c>
      <c r="K79" s="104">
        <v>3700</v>
      </c>
      <c r="L79" s="37">
        <v>5500</v>
      </c>
      <c r="M79" s="37"/>
      <c r="N79" s="37">
        <v>5500</v>
      </c>
      <c r="O79" s="82">
        <v>2549.415</v>
      </c>
      <c r="P79" s="117">
        <f t="shared" si="9"/>
        <v>0.10000000000000016</v>
      </c>
      <c r="Q79" s="17"/>
      <c r="R79" s="4"/>
      <c r="S79" s="70"/>
    </row>
    <row r="80" spans="1:19" ht="15.6" x14ac:dyDescent="0.3">
      <c r="A80" s="55"/>
      <c r="B80" s="15" t="s">
        <v>56</v>
      </c>
      <c r="C80" s="19">
        <v>297619.63999999996</v>
      </c>
      <c r="D80" s="19">
        <v>285312.84999999998</v>
      </c>
      <c r="E80" s="19">
        <v>250048.93</v>
      </c>
      <c r="F80" s="19">
        <v>278710</v>
      </c>
      <c r="G80" s="19">
        <v>307645.01999999996</v>
      </c>
      <c r="H80" s="19">
        <v>226744.91999999993</v>
      </c>
      <c r="I80" s="19">
        <v>162693.66</v>
      </c>
      <c r="J80" s="91">
        <v>242074.46</v>
      </c>
      <c r="K80" s="105">
        <v>280000</v>
      </c>
      <c r="L80" s="38">
        <v>309959</v>
      </c>
      <c r="M80" s="38"/>
      <c r="N80" s="38">
        <v>280700</v>
      </c>
      <c r="O80" s="83">
        <v>278125.09649999999</v>
      </c>
      <c r="P80" s="117">
        <f t="shared" si="9"/>
        <v>0.14892375056831686</v>
      </c>
      <c r="Q80" s="20"/>
      <c r="R80" s="4"/>
      <c r="S80" s="70"/>
    </row>
    <row r="81" spans="1:19" x14ac:dyDescent="0.25">
      <c r="A81" s="55"/>
      <c r="B81" s="14"/>
      <c r="C81" s="16"/>
      <c r="D81" s="16"/>
      <c r="E81" s="16"/>
      <c r="F81" s="16"/>
      <c r="G81" s="16"/>
      <c r="H81" s="16"/>
      <c r="I81" s="16"/>
      <c r="J81" s="89"/>
      <c r="K81" s="104"/>
      <c r="L81" s="37"/>
      <c r="M81" s="37"/>
      <c r="N81" s="37"/>
      <c r="O81" s="82"/>
      <c r="Q81" s="17"/>
      <c r="R81" s="4"/>
      <c r="S81" s="70"/>
    </row>
    <row r="82" spans="1:19" ht="15.6" x14ac:dyDescent="0.3">
      <c r="A82" s="55"/>
      <c r="B82" s="15" t="s">
        <v>57</v>
      </c>
      <c r="C82" s="16"/>
      <c r="D82" s="16"/>
      <c r="E82" s="16"/>
      <c r="F82" s="16"/>
      <c r="G82" s="16"/>
      <c r="H82" s="16"/>
      <c r="I82" s="16"/>
      <c r="J82" s="89"/>
      <c r="K82" s="104"/>
      <c r="L82" s="37"/>
      <c r="M82" s="37"/>
      <c r="N82" s="37"/>
      <c r="O82" s="82"/>
      <c r="Q82" s="17"/>
      <c r="R82" s="4"/>
      <c r="S82" s="70"/>
    </row>
    <row r="83" spans="1:19" x14ac:dyDescent="0.25">
      <c r="A83" s="55">
        <v>6055</v>
      </c>
      <c r="B83" s="14" t="s">
        <v>58</v>
      </c>
      <c r="C83" s="16">
        <v>13894.73</v>
      </c>
      <c r="D83" s="16">
        <v>14518.74</v>
      </c>
      <c r="E83" s="16">
        <v>11373.2</v>
      </c>
      <c r="F83" s="16">
        <v>11254</v>
      </c>
      <c r="G83" s="47">
        <v>11948.2</v>
      </c>
      <c r="H83" s="47">
        <v>7809.4900000000007</v>
      </c>
      <c r="I83" s="47">
        <v>4625.4800000000005</v>
      </c>
      <c r="J83" s="90">
        <v>9336.73</v>
      </c>
      <c r="K83" s="104">
        <v>12500</v>
      </c>
      <c r="L83" s="37">
        <v>12740</v>
      </c>
      <c r="M83" s="37"/>
      <c r="N83" s="37">
        <v>12740</v>
      </c>
      <c r="O83" s="82">
        <v>10270.403</v>
      </c>
      <c r="P83" s="117">
        <f t="shared" ref="P83:P88" si="10">(O83-J83)/J83</f>
        <v>0.10000000000000007</v>
      </c>
      <c r="Q83" s="17"/>
      <c r="R83" s="4"/>
      <c r="S83" s="70"/>
    </row>
    <row r="84" spans="1:19" x14ac:dyDescent="0.25">
      <c r="A84" s="55">
        <v>6060</v>
      </c>
      <c r="B84" s="14" t="s">
        <v>59</v>
      </c>
      <c r="C84" s="16">
        <v>2673.1</v>
      </c>
      <c r="D84" s="16">
        <v>3694.96</v>
      </c>
      <c r="E84" s="16">
        <v>1789.17</v>
      </c>
      <c r="F84" s="16">
        <v>204</v>
      </c>
      <c r="G84" s="47">
        <v>4682.7599999999993</v>
      </c>
      <c r="H84" s="47">
        <v>1162.83</v>
      </c>
      <c r="I84" s="47">
        <v>263.46999999999997</v>
      </c>
      <c r="J84" s="90">
        <v>2892.4900000000002</v>
      </c>
      <c r="K84" s="104">
        <v>3500</v>
      </c>
      <c r="L84" s="37">
        <v>3500</v>
      </c>
      <c r="M84" s="37"/>
      <c r="N84" s="37">
        <v>3500</v>
      </c>
      <c r="O84" s="82">
        <v>3181.7390000000005</v>
      </c>
      <c r="P84" s="117">
        <f t="shared" si="10"/>
        <v>0.10000000000000007</v>
      </c>
      <c r="Q84" s="17"/>
      <c r="R84" s="4"/>
      <c r="S84" s="70"/>
    </row>
    <row r="85" spans="1:19" x14ac:dyDescent="0.25">
      <c r="A85" s="55">
        <v>6061</v>
      </c>
      <c r="B85" s="14" t="s">
        <v>60</v>
      </c>
      <c r="C85" s="16">
        <v>2661.88</v>
      </c>
      <c r="D85" s="16">
        <v>3018.87</v>
      </c>
      <c r="E85" s="16">
        <v>2614.0100000000002</v>
      </c>
      <c r="F85" s="16">
        <v>3753</v>
      </c>
      <c r="G85" s="47">
        <v>4703.3100000000004</v>
      </c>
      <c r="H85" s="47">
        <v>3725.1099999999997</v>
      </c>
      <c r="I85" s="47">
        <v>3492.7900000000004</v>
      </c>
      <c r="J85" s="90">
        <v>4414.84</v>
      </c>
      <c r="K85" s="104">
        <v>2800</v>
      </c>
      <c r="L85" s="37">
        <v>3800</v>
      </c>
      <c r="M85" s="37"/>
      <c r="N85" s="37">
        <v>3500</v>
      </c>
      <c r="O85" s="82">
        <v>4856.3240000000005</v>
      </c>
      <c r="P85" s="117">
        <f t="shared" si="10"/>
        <v>0.10000000000000009</v>
      </c>
      <c r="Q85" s="17"/>
      <c r="R85" s="4"/>
      <c r="S85" s="70"/>
    </row>
    <row r="86" spans="1:19" x14ac:dyDescent="0.25">
      <c r="A86" s="55">
        <v>6063</v>
      </c>
      <c r="B86" s="14" t="s">
        <v>61</v>
      </c>
      <c r="C86" s="16">
        <v>2871.32</v>
      </c>
      <c r="D86" s="16">
        <v>2781.88</v>
      </c>
      <c r="E86" s="16">
        <v>3092.93</v>
      </c>
      <c r="F86" s="16">
        <v>3091</v>
      </c>
      <c r="G86" s="47">
        <v>3298.2</v>
      </c>
      <c r="H86" s="47">
        <v>2718.7</v>
      </c>
      <c r="I86" s="47">
        <v>803.71</v>
      </c>
      <c r="J86" s="90">
        <v>1387.9499999999998</v>
      </c>
      <c r="K86" s="104">
        <v>3100</v>
      </c>
      <c r="L86" s="37">
        <v>3200</v>
      </c>
      <c r="M86" s="37"/>
      <c r="N86" s="37">
        <v>3100</v>
      </c>
      <c r="O86" s="82">
        <v>1526.7449999999999</v>
      </c>
      <c r="P86" s="117">
        <f t="shared" si="10"/>
        <v>0.10000000000000006</v>
      </c>
      <c r="Q86" s="17"/>
      <c r="R86" s="4"/>
      <c r="S86" s="70"/>
    </row>
    <row r="87" spans="1:19" x14ac:dyDescent="0.25">
      <c r="A87" s="55">
        <v>6065</v>
      </c>
      <c r="B87" s="14" t="s">
        <v>62</v>
      </c>
      <c r="C87" s="16">
        <v>4494.25</v>
      </c>
      <c r="D87" s="16">
        <v>4159.3599999999997</v>
      </c>
      <c r="E87" s="16">
        <v>3496.23</v>
      </c>
      <c r="F87" s="16">
        <v>3765</v>
      </c>
      <c r="G87" s="47">
        <v>2864.96</v>
      </c>
      <c r="H87" s="47">
        <v>3086.0600000000004</v>
      </c>
      <c r="I87" s="47">
        <v>189.56</v>
      </c>
      <c r="J87" s="90">
        <v>2449.0700000000002</v>
      </c>
      <c r="K87" s="104">
        <v>3900</v>
      </c>
      <c r="L87" s="37">
        <v>3500</v>
      </c>
      <c r="M87" s="37"/>
      <c r="N87" s="37">
        <v>3500</v>
      </c>
      <c r="O87" s="82">
        <v>2693.9770000000003</v>
      </c>
      <c r="P87" s="117">
        <f t="shared" si="10"/>
        <v>0.10000000000000006</v>
      </c>
      <c r="Q87" s="17"/>
      <c r="R87" s="4"/>
      <c r="S87" s="70"/>
    </row>
    <row r="88" spans="1:19" x14ac:dyDescent="0.25">
      <c r="A88" s="55">
        <v>6066</v>
      </c>
      <c r="B88" s="14" t="s">
        <v>63</v>
      </c>
      <c r="C88" s="16">
        <v>2952.5</v>
      </c>
      <c r="D88" s="16">
        <v>2540</v>
      </c>
      <c r="E88" s="16">
        <v>6555</v>
      </c>
      <c r="F88" s="16">
        <v>4762</v>
      </c>
      <c r="G88" s="47">
        <v>2924</v>
      </c>
      <c r="H88" s="47">
        <v>3049</v>
      </c>
      <c r="I88" s="47">
        <v>1252</v>
      </c>
      <c r="J88" s="90">
        <v>2805.3100000000004</v>
      </c>
      <c r="K88" s="104">
        <v>5500</v>
      </c>
      <c r="L88" s="37">
        <v>4500</v>
      </c>
      <c r="M88" s="37"/>
      <c r="N88" s="37">
        <v>4100</v>
      </c>
      <c r="O88" s="82">
        <v>3085.8410000000008</v>
      </c>
      <c r="P88" s="117">
        <f t="shared" si="10"/>
        <v>0.10000000000000013</v>
      </c>
      <c r="Q88" s="17"/>
      <c r="R88" s="4"/>
      <c r="S88" s="70"/>
    </row>
    <row r="89" spans="1:19" ht="15.6" x14ac:dyDescent="0.3">
      <c r="A89" s="55"/>
      <c r="B89" s="15" t="s">
        <v>64</v>
      </c>
      <c r="C89" s="19">
        <v>29547.78</v>
      </c>
      <c r="D89" s="19">
        <v>30713.81</v>
      </c>
      <c r="E89" s="19">
        <v>28920.54</v>
      </c>
      <c r="F89" s="19">
        <v>26829</v>
      </c>
      <c r="G89" s="19">
        <v>30421.43</v>
      </c>
      <c r="H89" s="19">
        <v>21551.190000000002</v>
      </c>
      <c r="I89" s="19">
        <v>10627.01</v>
      </c>
      <c r="J89" s="91">
        <v>23286.39</v>
      </c>
      <c r="K89" s="105">
        <v>31300</v>
      </c>
      <c r="L89" s="38">
        <v>31240</v>
      </c>
      <c r="M89" s="38"/>
      <c r="N89" s="38">
        <v>30440</v>
      </c>
      <c r="O89" s="83">
        <v>25615.028999999999</v>
      </c>
      <c r="Q89" s="20"/>
      <c r="R89" s="4"/>
      <c r="S89" s="70"/>
    </row>
    <row r="90" spans="1:19" ht="15.6" x14ac:dyDescent="0.3">
      <c r="A90" s="55"/>
      <c r="B90" s="15"/>
      <c r="C90" s="19"/>
      <c r="D90" s="19"/>
      <c r="E90" s="19"/>
      <c r="F90" s="19"/>
      <c r="G90" s="19"/>
      <c r="H90" s="16"/>
      <c r="I90" s="16"/>
      <c r="J90" s="89"/>
      <c r="K90" s="105"/>
      <c r="L90" s="37"/>
      <c r="M90" s="37"/>
      <c r="N90" s="37"/>
      <c r="O90" s="82"/>
      <c r="Q90" s="20"/>
      <c r="R90" s="4"/>
      <c r="S90" s="70"/>
    </row>
    <row r="91" spans="1:19" ht="15.6" x14ac:dyDescent="0.3">
      <c r="A91" s="55"/>
      <c r="B91" s="15" t="s">
        <v>65</v>
      </c>
      <c r="C91" s="16"/>
      <c r="D91" s="16"/>
      <c r="E91" s="16"/>
      <c r="F91" s="16"/>
      <c r="G91" s="16"/>
      <c r="H91" s="16"/>
      <c r="I91" s="16"/>
      <c r="J91" s="89"/>
      <c r="K91" s="104"/>
      <c r="L91" s="37"/>
      <c r="M91" s="37"/>
      <c r="N91" s="37"/>
      <c r="O91" s="82"/>
      <c r="Q91" s="17"/>
      <c r="R91" s="4"/>
      <c r="S91" s="70"/>
    </row>
    <row r="92" spans="1:19" x14ac:dyDescent="0.25">
      <c r="A92" s="55">
        <v>6312</v>
      </c>
      <c r="B92" s="14" t="s">
        <v>66</v>
      </c>
      <c r="C92" s="16">
        <v>1836.36</v>
      </c>
      <c r="D92" s="16">
        <v>1994.23</v>
      </c>
      <c r="E92" s="16">
        <v>2293.79</v>
      </c>
      <c r="F92" s="16">
        <v>2218</v>
      </c>
      <c r="G92" s="47">
        <v>2085.6</v>
      </c>
      <c r="H92" s="47">
        <v>1554.8999999999996</v>
      </c>
      <c r="I92" s="47">
        <v>1680.6599999999999</v>
      </c>
      <c r="J92" s="90">
        <v>2087.2899999999995</v>
      </c>
      <c r="K92" s="104">
        <v>2200</v>
      </c>
      <c r="L92" s="37">
        <v>2200</v>
      </c>
      <c r="M92" s="37"/>
      <c r="N92" s="37">
        <v>2200</v>
      </c>
      <c r="O92" s="82">
        <v>2504.7479999999991</v>
      </c>
      <c r="P92" s="117">
        <f t="shared" ref="P92:P94" si="11">(O92-J92)/J92</f>
        <v>0.19999999999999987</v>
      </c>
      <c r="Q92" s="23" t="s">
        <v>442</v>
      </c>
      <c r="R92" s="4"/>
      <c r="S92" s="70"/>
    </row>
    <row r="93" spans="1:19" x14ac:dyDescent="0.25">
      <c r="A93" s="55">
        <v>6313</v>
      </c>
      <c r="B93" s="14" t="s">
        <v>67</v>
      </c>
      <c r="C93" s="16">
        <v>264</v>
      </c>
      <c r="D93" s="16">
        <v>521.91999999999996</v>
      </c>
      <c r="E93" s="16">
        <v>1659.06</v>
      </c>
      <c r="F93" s="16">
        <v>2105</v>
      </c>
      <c r="G93" s="47">
        <v>1312.5700000000002</v>
      </c>
      <c r="H93" s="47">
        <v>1229.07</v>
      </c>
      <c r="I93" s="47">
        <v>1252.56</v>
      </c>
      <c r="J93" s="90">
        <v>2526.62</v>
      </c>
      <c r="K93" s="104">
        <v>2100</v>
      </c>
      <c r="L93" s="37">
        <v>2100</v>
      </c>
      <c r="M93" s="37"/>
      <c r="N93" s="37">
        <v>2200</v>
      </c>
      <c r="O93" s="82">
        <v>3031.944</v>
      </c>
      <c r="P93" s="117">
        <f t="shared" si="11"/>
        <v>0.20000000000000004</v>
      </c>
      <c r="Q93" s="23" t="s">
        <v>441</v>
      </c>
      <c r="R93" s="4"/>
      <c r="S93" s="70"/>
    </row>
    <row r="94" spans="1:19" x14ac:dyDescent="0.25">
      <c r="A94" s="55">
        <v>6314</v>
      </c>
      <c r="B94" s="14" t="s">
        <v>68</v>
      </c>
      <c r="C94" s="16">
        <v>3985.99</v>
      </c>
      <c r="D94" s="16">
        <v>4069</v>
      </c>
      <c r="E94" s="16">
        <v>4199.93</v>
      </c>
      <c r="F94" s="16">
        <v>4065</v>
      </c>
      <c r="G94" s="47">
        <v>3843.99</v>
      </c>
      <c r="H94" s="47">
        <v>3403.0199999999995</v>
      </c>
      <c r="I94" s="47">
        <v>3961.0199999999995</v>
      </c>
      <c r="J94" s="90">
        <v>5477.9800000000005</v>
      </c>
      <c r="K94" s="104">
        <v>3900</v>
      </c>
      <c r="L94" s="37">
        <v>3900</v>
      </c>
      <c r="M94" s="37"/>
      <c r="N94" s="37">
        <v>3900</v>
      </c>
      <c r="O94" s="82">
        <v>5500</v>
      </c>
      <c r="P94" s="117">
        <f t="shared" si="11"/>
        <v>4.0197299004376659E-3</v>
      </c>
      <c r="Q94" s="17"/>
      <c r="R94" s="4"/>
      <c r="S94" s="70"/>
    </row>
    <row r="95" spans="1:19" ht="15.6" x14ac:dyDescent="0.3">
      <c r="A95" s="55"/>
      <c r="B95" s="15" t="s">
        <v>69</v>
      </c>
      <c r="C95" s="19">
        <v>6086.3499999999995</v>
      </c>
      <c r="D95" s="19">
        <v>6585.15</v>
      </c>
      <c r="E95" s="19">
        <v>8152.7800000000007</v>
      </c>
      <c r="F95" s="19">
        <v>8388</v>
      </c>
      <c r="G95" s="19">
        <v>7242.16</v>
      </c>
      <c r="H95" s="19">
        <v>6186.9899999999989</v>
      </c>
      <c r="I95" s="19">
        <v>6894.24</v>
      </c>
      <c r="J95" s="91">
        <v>10091.89</v>
      </c>
      <c r="K95" s="105">
        <v>8200</v>
      </c>
      <c r="L95" s="19">
        <v>8200</v>
      </c>
      <c r="M95" s="19"/>
      <c r="N95" s="19">
        <v>8300</v>
      </c>
      <c r="O95" s="83">
        <v>11036.691999999999</v>
      </c>
      <c r="Q95" s="20"/>
      <c r="R95" s="4"/>
      <c r="S95" s="70"/>
    </row>
    <row r="96" spans="1:19" ht="15.6" x14ac:dyDescent="0.3">
      <c r="A96" s="55"/>
      <c r="B96" s="15"/>
      <c r="C96" s="16"/>
      <c r="D96" s="16"/>
      <c r="E96" s="16"/>
      <c r="F96" s="16"/>
      <c r="G96" s="16"/>
      <c r="H96" s="16"/>
      <c r="I96" s="16"/>
      <c r="J96" s="89"/>
      <c r="K96" s="104"/>
      <c r="L96" s="37"/>
      <c r="M96" s="37"/>
      <c r="N96" s="37"/>
      <c r="O96" s="82"/>
      <c r="Q96" s="17"/>
      <c r="R96" s="4"/>
      <c r="S96" s="70"/>
    </row>
    <row r="97" spans="1:19" ht="15.6" x14ac:dyDescent="0.3">
      <c r="A97" s="55">
        <v>6322</v>
      </c>
      <c r="B97" s="14" t="s">
        <v>70</v>
      </c>
      <c r="C97" s="16">
        <v>5947.73</v>
      </c>
      <c r="D97" s="16">
        <v>2185.12</v>
      </c>
      <c r="E97" s="16">
        <v>5298.28</v>
      </c>
      <c r="F97" s="16">
        <v>1890</v>
      </c>
      <c r="G97" s="47">
        <v>4816.5</v>
      </c>
      <c r="H97" s="47">
        <v>4251.1399999999994</v>
      </c>
      <c r="I97" s="47">
        <v>0</v>
      </c>
      <c r="J97" s="90">
        <v>0</v>
      </c>
      <c r="K97" s="104">
        <v>5200</v>
      </c>
      <c r="L97" s="37">
        <v>3500</v>
      </c>
      <c r="M97" s="37"/>
      <c r="N97" s="37">
        <v>3500</v>
      </c>
      <c r="O97" s="83">
        <v>1000</v>
      </c>
      <c r="P97" s="117"/>
      <c r="Q97" s="23" t="s">
        <v>443</v>
      </c>
      <c r="R97" s="4"/>
      <c r="S97" s="70"/>
    </row>
    <row r="98" spans="1:19" ht="15.6" x14ac:dyDescent="0.3">
      <c r="A98" s="55"/>
      <c r="B98" s="15"/>
      <c r="C98" s="16"/>
      <c r="D98" s="16"/>
      <c r="E98" s="16"/>
      <c r="F98" s="16"/>
      <c r="G98" s="16"/>
      <c r="H98" s="16"/>
      <c r="I98" s="16"/>
      <c r="J98" s="89"/>
      <c r="K98" s="104"/>
      <c r="L98" s="37"/>
      <c r="M98" s="37"/>
      <c r="N98" s="37"/>
      <c r="O98" s="82"/>
      <c r="Q98" s="17"/>
      <c r="R98" s="4"/>
      <c r="S98" s="70"/>
    </row>
    <row r="99" spans="1:19" ht="15.6" x14ac:dyDescent="0.3">
      <c r="A99" s="55"/>
      <c r="B99" s="15" t="s">
        <v>71</v>
      </c>
      <c r="C99" s="16"/>
      <c r="D99" s="16"/>
      <c r="E99" s="16"/>
      <c r="F99" s="16"/>
      <c r="G99" s="16"/>
      <c r="H99" s="16"/>
      <c r="I99" s="16"/>
      <c r="J99" s="89"/>
      <c r="K99" s="104"/>
      <c r="L99" s="37"/>
      <c r="M99" s="37"/>
      <c r="N99" s="37"/>
      <c r="O99" s="82"/>
      <c r="Q99" s="17"/>
      <c r="R99" s="4"/>
      <c r="S99" s="70"/>
    </row>
    <row r="100" spans="1:19" x14ac:dyDescent="0.25">
      <c r="A100" s="55">
        <v>6411</v>
      </c>
      <c r="B100" s="14" t="s">
        <v>72</v>
      </c>
      <c r="C100" s="16">
        <v>13659.46</v>
      </c>
      <c r="D100" s="16">
        <v>1868.54</v>
      </c>
      <c r="E100" s="16">
        <v>1550.53</v>
      </c>
      <c r="F100" s="16">
        <v>1320</v>
      </c>
      <c r="G100" s="47">
        <v>2800.25</v>
      </c>
      <c r="H100" s="47">
        <v>4261.74</v>
      </c>
      <c r="I100" s="47">
        <v>4476.7699999999995</v>
      </c>
      <c r="J100" s="90">
        <v>5060.7700000000004</v>
      </c>
      <c r="K100" s="104">
        <v>1900</v>
      </c>
      <c r="L100" s="37">
        <v>2500</v>
      </c>
      <c r="M100" s="37"/>
      <c r="N100" s="37">
        <v>3000</v>
      </c>
      <c r="O100" s="82">
        <v>5313.808500000001</v>
      </c>
      <c r="P100" s="117">
        <f t="shared" ref="P100:P109" si="12">(O100-J100)/J100</f>
        <v>5.0000000000000107E-2</v>
      </c>
      <c r="Q100" s="127" t="s">
        <v>444</v>
      </c>
      <c r="R100" s="4"/>
      <c r="S100" s="70"/>
    </row>
    <row r="101" spans="1:19" x14ac:dyDescent="0.25">
      <c r="A101" s="55">
        <v>6412</v>
      </c>
      <c r="B101" s="14" t="s">
        <v>73</v>
      </c>
      <c r="C101" s="16">
        <v>1859.95</v>
      </c>
      <c r="D101" s="16">
        <v>1893.23</v>
      </c>
      <c r="E101" s="16">
        <v>4651.03</v>
      </c>
      <c r="F101" s="16">
        <v>7979</v>
      </c>
      <c r="G101" s="47">
        <v>1625.62</v>
      </c>
      <c r="H101" s="47">
        <v>1845.8</v>
      </c>
      <c r="I101" s="47">
        <v>5516.29</v>
      </c>
      <c r="J101" s="90">
        <v>1731.6200000000003</v>
      </c>
      <c r="K101" s="104">
        <v>2500</v>
      </c>
      <c r="L101" s="37">
        <v>2500</v>
      </c>
      <c r="M101" s="37"/>
      <c r="N101" s="37">
        <v>3500</v>
      </c>
      <c r="O101" s="82">
        <v>1818.2010000000005</v>
      </c>
      <c r="P101" s="117">
        <f t="shared" si="12"/>
        <v>5.0000000000000065E-2</v>
      </c>
      <c r="Q101" s="37"/>
      <c r="R101" s="4"/>
      <c r="S101" s="70"/>
    </row>
    <row r="102" spans="1:19" x14ac:dyDescent="0.25">
      <c r="A102" s="55">
        <v>6413</v>
      </c>
      <c r="B102" s="14" t="s">
        <v>74</v>
      </c>
      <c r="C102" s="16">
        <v>8310.75</v>
      </c>
      <c r="D102" s="16">
        <v>12521.91</v>
      </c>
      <c r="E102" s="16">
        <v>11461.93</v>
      </c>
      <c r="F102" s="16">
        <v>12375</v>
      </c>
      <c r="G102" s="47">
        <v>19969.53</v>
      </c>
      <c r="H102" s="47">
        <v>19071.520000000004</v>
      </c>
      <c r="I102" s="47">
        <v>10289.23</v>
      </c>
      <c r="J102" s="90">
        <v>16320.6</v>
      </c>
      <c r="K102" s="104">
        <v>8500</v>
      </c>
      <c r="L102" s="37">
        <v>12000</v>
      </c>
      <c r="M102" s="37"/>
      <c r="N102" s="37">
        <v>11500</v>
      </c>
      <c r="O102" s="82">
        <v>17136.63</v>
      </c>
      <c r="P102" s="117">
        <f t="shared" si="12"/>
        <v>5.0000000000000037E-2</v>
      </c>
      <c r="Q102" s="37"/>
      <c r="R102" s="4"/>
      <c r="S102" s="70"/>
    </row>
    <row r="103" spans="1:19" x14ac:dyDescent="0.25">
      <c r="A103" s="55">
        <v>6414</v>
      </c>
      <c r="B103" s="14" t="s">
        <v>75</v>
      </c>
      <c r="C103" s="16">
        <v>337.45</v>
      </c>
      <c r="D103" s="16">
        <v>815.06</v>
      </c>
      <c r="E103" s="16"/>
      <c r="F103" s="16">
        <v>845</v>
      </c>
      <c r="G103" s="47">
        <v>329.04</v>
      </c>
      <c r="H103" s="47">
        <v>1761.8700000000001</v>
      </c>
      <c r="I103" s="47">
        <v>980.15</v>
      </c>
      <c r="J103" s="92">
        <v>2200</v>
      </c>
      <c r="K103" s="104">
        <v>800</v>
      </c>
      <c r="L103" s="37">
        <v>500</v>
      </c>
      <c r="M103" s="37"/>
      <c r="N103" s="37">
        <v>2200</v>
      </c>
      <c r="O103" s="82">
        <v>2310</v>
      </c>
      <c r="P103" s="117">
        <f t="shared" si="12"/>
        <v>0.05</v>
      </c>
      <c r="Q103" s="37"/>
      <c r="R103" s="4"/>
      <c r="S103" s="70"/>
    </row>
    <row r="104" spans="1:19" x14ac:dyDescent="0.25">
      <c r="A104" s="55">
        <v>6420</v>
      </c>
      <c r="B104" s="14" t="s">
        <v>76</v>
      </c>
      <c r="C104" s="16">
        <v>352.29</v>
      </c>
      <c r="D104" s="16">
        <v>520.33000000000004</v>
      </c>
      <c r="E104" s="16">
        <v>208.97</v>
      </c>
      <c r="F104" s="16">
        <v>1226</v>
      </c>
      <c r="G104" s="47">
        <v>2390.6</v>
      </c>
      <c r="H104" s="47">
        <v>146.09</v>
      </c>
      <c r="I104" s="47">
        <v>173.82</v>
      </c>
      <c r="J104" s="90">
        <v>1909.75</v>
      </c>
      <c r="K104" s="104">
        <v>900</v>
      </c>
      <c r="L104" s="37">
        <v>500</v>
      </c>
      <c r="M104" s="37"/>
      <c r="N104" s="37">
        <v>1500</v>
      </c>
      <c r="O104" s="82">
        <v>2005.2375000000002</v>
      </c>
      <c r="P104" s="117">
        <f t="shared" si="12"/>
        <v>5.0000000000000093E-2</v>
      </c>
      <c r="Q104" s="37"/>
      <c r="R104" s="4"/>
      <c r="S104" s="70"/>
    </row>
    <row r="105" spans="1:19" x14ac:dyDescent="0.25">
      <c r="A105" s="55">
        <v>6421</v>
      </c>
      <c r="B105" s="14" t="s">
        <v>77</v>
      </c>
      <c r="C105" s="16">
        <v>22038.66</v>
      </c>
      <c r="D105" s="16">
        <v>405.06</v>
      </c>
      <c r="E105" s="16">
        <v>1763.46</v>
      </c>
      <c r="F105" s="16">
        <v>1901</v>
      </c>
      <c r="G105" s="47">
        <v>1172.03</v>
      </c>
      <c r="H105" s="47">
        <v>1839.22</v>
      </c>
      <c r="I105" s="47">
        <v>3044.1799999999994</v>
      </c>
      <c r="J105" s="90">
        <v>1867.7499999999995</v>
      </c>
      <c r="K105" s="104">
        <v>1300</v>
      </c>
      <c r="L105" s="37">
        <v>1500</v>
      </c>
      <c r="M105" s="37"/>
      <c r="N105" s="37">
        <v>1900</v>
      </c>
      <c r="O105" s="82">
        <v>1961.1374999999996</v>
      </c>
      <c r="P105" s="117">
        <f t="shared" si="12"/>
        <v>5.0000000000000037E-2</v>
      </c>
      <c r="Q105" s="37"/>
      <c r="R105" s="4"/>
      <c r="S105" s="70"/>
    </row>
    <row r="106" spans="1:19" x14ac:dyDescent="0.25">
      <c r="A106" s="55">
        <v>6422</v>
      </c>
      <c r="B106" s="14" t="s">
        <v>78</v>
      </c>
      <c r="C106" s="16">
        <v>110.28</v>
      </c>
      <c r="D106" s="16">
        <v>113.27</v>
      </c>
      <c r="E106" s="16">
        <v>6.99</v>
      </c>
      <c r="F106" s="16">
        <v>297</v>
      </c>
      <c r="G106" s="47">
        <v>139.9</v>
      </c>
      <c r="H106" s="47">
        <v>65.92</v>
      </c>
      <c r="I106" s="80"/>
      <c r="J106" s="90">
        <v>3552.2999999999997</v>
      </c>
      <c r="K106" s="104">
        <v>300</v>
      </c>
      <c r="L106" s="37">
        <v>300</v>
      </c>
      <c r="M106" s="37"/>
      <c r="N106" s="37">
        <v>300</v>
      </c>
      <c r="O106" s="82">
        <v>3729.915</v>
      </c>
      <c r="P106" s="117">
        <f t="shared" si="12"/>
        <v>5.0000000000000072E-2</v>
      </c>
      <c r="Q106" s="37"/>
      <c r="R106" s="4"/>
      <c r="S106" s="70"/>
    </row>
    <row r="107" spans="1:19" x14ac:dyDescent="0.25">
      <c r="A107" s="55">
        <v>6423</v>
      </c>
      <c r="B107" s="14" t="s">
        <v>79</v>
      </c>
      <c r="C107" s="16">
        <v>443.41</v>
      </c>
      <c r="D107" s="16">
        <v>820</v>
      </c>
      <c r="E107" s="16">
        <v>831.83</v>
      </c>
      <c r="F107" s="16">
        <v>2775</v>
      </c>
      <c r="G107" s="47">
        <v>487.34</v>
      </c>
      <c r="H107" s="80"/>
      <c r="I107" s="47">
        <v>855.03000000000009</v>
      </c>
      <c r="J107" s="90">
        <v>1869.47</v>
      </c>
      <c r="K107" s="104">
        <v>1400</v>
      </c>
      <c r="L107" s="37">
        <v>1000</v>
      </c>
      <c r="M107" s="37"/>
      <c r="N107" s="37">
        <v>990</v>
      </c>
      <c r="O107" s="82">
        <v>1962.9435000000001</v>
      </c>
      <c r="P107" s="117">
        <f t="shared" si="12"/>
        <v>5.0000000000000031E-2</v>
      </c>
      <c r="Q107" s="37"/>
      <c r="R107" s="4"/>
      <c r="S107" s="70"/>
    </row>
    <row r="108" spans="1:19" x14ac:dyDescent="0.25">
      <c r="A108" s="55">
        <v>6424</v>
      </c>
      <c r="B108" s="14" t="s">
        <v>80</v>
      </c>
      <c r="C108" s="16">
        <v>35.880000000000003</v>
      </c>
      <c r="D108" s="16">
        <v>497.17</v>
      </c>
      <c r="E108" s="16">
        <v>24.46</v>
      </c>
      <c r="F108" s="16"/>
      <c r="G108" s="47"/>
      <c r="H108" s="47">
        <v>906.64</v>
      </c>
      <c r="I108" s="47">
        <v>352.64</v>
      </c>
      <c r="J108" s="90">
        <v>246.73000000000002</v>
      </c>
      <c r="K108" s="104">
        <v>300</v>
      </c>
      <c r="L108" s="37">
        <v>300</v>
      </c>
      <c r="M108" s="37"/>
      <c r="N108" s="37">
        <v>300</v>
      </c>
      <c r="O108" s="82">
        <v>259.06650000000002</v>
      </c>
      <c r="P108" s="117">
        <f t="shared" si="12"/>
        <v>0.05</v>
      </c>
      <c r="Q108" s="37"/>
      <c r="R108" s="4"/>
      <c r="S108" s="70"/>
    </row>
    <row r="109" spans="1:19" x14ac:dyDescent="0.25">
      <c r="A109" s="55">
        <v>6425</v>
      </c>
      <c r="B109" s="14" t="s">
        <v>81</v>
      </c>
      <c r="C109" s="16">
        <v>587.4</v>
      </c>
      <c r="D109" s="16">
        <v>676</v>
      </c>
      <c r="E109" s="16">
        <v>676</v>
      </c>
      <c r="F109" s="16">
        <v>676</v>
      </c>
      <c r="G109" s="16">
        <v>676</v>
      </c>
      <c r="H109" s="47">
        <v>2045</v>
      </c>
      <c r="I109" s="47">
        <v>1223.25</v>
      </c>
      <c r="J109" s="90">
        <v>1405.69</v>
      </c>
      <c r="K109" s="104">
        <v>1300</v>
      </c>
      <c r="L109" s="37">
        <v>1600</v>
      </c>
      <c r="M109" s="37"/>
      <c r="N109" s="37">
        <v>1600</v>
      </c>
      <c r="O109" s="82">
        <v>1475.9745</v>
      </c>
      <c r="P109" s="117">
        <f t="shared" si="12"/>
        <v>4.9999999999999982E-2</v>
      </c>
      <c r="Q109" s="37"/>
      <c r="R109" s="4"/>
      <c r="S109" s="70"/>
    </row>
    <row r="110" spans="1:19" ht="15.6" x14ac:dyDescent="0.3">
      <c r="A110" s="55"/>
      <c r="B110" s="15" t="s">
        <v>82</v>
      </c>
      <c r="C110" s="19">
        <v>47735.53</v>
      </c>
      <c r="D110" s="19">
        <v>20130.570000000003</v>
      </c>
      <c r="E110" s="19">
        <v>21175.200000000001</v>
      </c>
      <c r="F110" s="19">
        <v>29394</v>
      </c>
      <c r="G110" s="19">
        <v>29590.309999999998</v>
      </c>
      <c r="H110" s="19">
        <v>31943.800000000003</v>
      </c>
      <c r="I110" s="19">
        <v>26911.360000000001</v>
      </c>
      <c r="J110" s="91">
        <v>36164.680000000008</v>
      </c>
      <c r="K110" s="105">
        <v>19200</v>
      </c>
      <c r="L110" s="19">
        <v>22700</v>
      </c>
      <c r="M110" s="19"/>
      <c r="N110" s="19">
        <v>26790</v>
      </c>
      <c r="O110" s="83">
        <v>37972.914000000004</v>
      </c>
      <c r="Q110" s="38"/>
      <c r="R110" s="4"/>
      <c r="S110" s="70"/>
    </row>
    <row r="111" spans="1:19" x14ac:dyDescent="0.25">
      <c r="A111" s="55"/>
      <c r="B111" s="14"/>
      <c r="C111" s="16"/>
      <c r="D111" s="16"/>
      <c r="E111" s="16"/>
      <c r="F111" s="16"/>
      <c r="G111" s="16"/>
      <c r="H111" s="16"/>
      <c r="I111" s="16"/>
      <c r="J111" s="89"/>
      <c r="K111" s="104"/>
      <c r="L111" s="37"/>
      <c r="M111" s="37"/>
      <c r="N111" s="37"/>
      <c r="O111" s="82"/>
      <c r="Q111" s="37"/>
      <c r="R111" s="4"/>
      <c r="S111" s="70"/>
    </row>
    <row r="112" spans="1:19" ht="15.6" x14ac:dyDescent="0.3">
      <c r="A112" s="55"/>
      <c r="B112" s="15" t="s">
        <v>83</v>
      </c>
      <c r="C112" s="16"/>
      <c r="D112" s="16"/>
      <c r="E112" s="16"/>
      <c r="F112" s="16"/>
      <c r="G112" s="16"/>
      <c r="H112" s="16"/>
      <c r="I112" s="16"/>
      <c r="J112" s="89"/>
      <c r="K112" s="104"/>
      <c r="L112" s="37"/>
      <c r="M112" s="37"/>
      <c r="N112" s="37"/>
      <c r="O112" s="82"/>
      <c r="Q112" s="37"/>
      <c r="R112" s="4"/>
      <c r="S112" s="70"/>
    </row>
    <row r="113" spans="1:19" x14ac:dyDescent="0.25">
      <c r="A113" s="55">
        <v>6431</v>
      </c>
      <c r="B113" s="14" t="s">
        <v>84</v>
      </c>
      <c r="C113" s="16">
        <v>5041.88</v>
      </c>
      <c r="D113" s="16">
        <v>1649.04</v>
      </c>
      <c r="E113" s="16">
        <v>167.89</v>
      </c>
      <c r="F113" s="16">
        <v>1462</v>
      </c>
      <c r="G113" s="47">
        <v>2185.37</v>
      </c>
      <c r="H113" s="47">
        <v>1663</v>
      </c>
      <c r="I113" s="47">
        <v>1332.95</v>
      </c>
      <c r="J113" s="90">
        <v>2605.2399999999998</v>
      </c>
      <c r="K113" s="104">
        <v>1900</v>
      </c>
      <c r="L113" s="37">
        <v>2000</v>
      </c>
      <c r="M113" s="37"/>
      <c r="N113" s="37">
        <v>1500</v>
      </c>
      <c r="O113" s="82">
        <v>2735.502</v>
      </c>
      <c r="P113" s="117">
        <f t="shared" ref="P113:P117" si="13">(O113-J113)/J113</f>
        <v>5.0000000000000072E-2</v>
      </c>
      <c r="Q113" s="127" t="s">
        <v>444</v>
      </c>
      <c r="R113" s="4"/>
      <c r="S113" s="70"/>
    </row>
    <row r="114" spans="1:19" x14ac:dyDescent="0.25">
      <c r="A114" s="55">
        <v>6432</v>
      </c>
      <c r="B114" s="14" t="s">
        <v>85</v>
      </c>
      <c r="C114" s="16">
        <v>13512.93</v>
      </c>
      <c r="D114" s="16">
        <v>8023.9</v>
      </c>
      <c r="E114" s="16">
        <v>7039.55</v>
      </c>
      <c r="F114" s="16">
        <v>3609</v>
      </c>
      <c r="G114" s="47">
        <v>2856.98</v>
      </c>
      <c r="H114" s="47">
        <v>5590</v>
      </c>
      <c r="I114" s="47">
        <v>6126.4900000000007</v>
      </c>
      <c r="J114" s="90">
        <v>4096.5</v>
      </c>
      <c r="K114" s="104">
        <v>6100</v>
      </c>
      <c r="L114" s="37">
        <v>4000</v>
      </c>
      <c r="M114" s="37"/>
      <c r="N114" s="37">
        <v>4000</v>
      </c>
      <c r="O114" s="82">
        <v>4301.3249999999998</v>
      </c>
      <c r="P114" s="117">
        <f t="shared" si="13"/>
        <v>4.9999999999999954E-2</v>
      </c>
      <c r="Q114" s="37"/>
      <c r="R114" s="4"/>
      <c r="S114" s="70"/>
    </row>
    <row r="115" spans="1:19" x14ac:dyDescent="0.25">
      <c r="A115" s="55">
        <v>6434</v>
      </c>
      <c r="B115" s="14" t="s">
        <v>86</v>
      </c>
      <c r="C115" s="16">
        <v>2543.59</v>
      </c>
      <c r="D115" s="16">
        <v>1516.41</v>
      </c>
      <c r="E115" s="16">
        <v>502.33</v>
      </c>
      <c r="F115" s="16">
        <v>1654</v>
      </c>
      <c r="G115" s="47">
        <v>1369.8500000000001</v>
      </c>
      <c r="H115" s="47">
        <v>1889.36</v>
      </c>
      <c r="I115" s="47">
        <v>1007.95</v>
      </c>
      <c r="J115" s="90">
        <v>3178.35</v>
      </c>
      <c r="K115" s="104">
        <v>1900</v>
      </c>
      <c r="L115" s="37">
        <v>1500</v>
      </c>
      <c r="M115" s="37"/>
      <c r="N115" s="37">
        <v>1500</v>
      </c>
      <c r="O115" s="82">
        <v>3337.2674999999999</v>
      </c>
      <c r="P115" s="117">
        <f t="shared" si="13"/>
        <v>5.000000000000001E-2</v>
      </c>
      <c r="Q115" s="37"/>
      <c r="R115" s="4"/>
      <c r="S115" s="70"/>
    </row>
    <row r="116" spans="1:19" x14ac:dyDescent="0.25">
      <c r="A116" s="55">
        <v>6435</v>
      </c>
      <c r="B116" s="14" t="s">
        <v>87</v>
      </c>
      <c r="C116" s="16">
        <v>9022.19</v>
      </c>
      <c r="D116" s="16">
        <v>2392</v>
      </c>
      <c r="E116" s="16">
        <v>165.51</v>
      </c>
      <c r="F116" s="16">
        <v>4172</v>
      </c>
      <c r="G116" s="47">
        <v>1268.6100000000001</v>
      </c>
      <c r="H116" s="47">
        <v>39.159999999999997</v>
      </c>
      <c r="I116" s="47">
        <v>908.5</v>
      </c>
      <c r="J116" s="92">
        <v>2700</v>
      </c>
      <c r="K116" s="104">
        <v>3800</v>
      </c>
      <c r="L116" s="37">
        <v>3200</v>
      </c>
      <c r="M116" s="37"/>
      <c r="N116" s="37">
        <v>2700</v>
      </c>
      <c r="O116" s="82">
        <v>2835</v>
      </c>
      <c r="P116" s="117">
        <f t="shared" si="13"/>
        <v>0.05</v>
      </c>
      <c r="Q116" s="37"/>
      <c r="R116" s="4"/>
      <c r="S116" s="70"/>
    </row>
    <row r="117" spans="1:19" x14ac:dyDescent="0.25">
      <c r="A117" s="55">
        <v>6436</v>
      </c>
      <c r="B117" s="14" t="s">
        <v>88</v>
      </c>
      <c r="C117" s="16">
        <v>3972.73</v>
      </c>
      <c r="D117" s="16">
        <v>4596.59</v>
      </c>
      <c r="E117" s="16">
        <v>3184.19</v>
      </c>
      <c r="F117" s="16">
        <v>2822</v>
      </c>
      <c r="G117" s="47">
        <v>3290.9900000000002</v>
      </c>
      <c r="H117" s="47">
        <v>3060.1299999999997</v>
      </c>
      <c r="I117" s="47">
        <v>2834.2700000000004</v>
      </c>
      <c r="J117" s="90">
        <v>3910.72</v>
      </c>
      <c r="K117" s="104">
        <v>2940</v>
      </c>
      <c r="L117" s="37">
        <v>3200</v>
      </c>
      <c r="M117" s="37"/>
      <c r="N117" s="37">
        <v>3400</v>
      </c>
      <c r="O117" s="82">
        <v>4106.2560000000003</v>
      </c>
      <c r="P117" s="117">
        <f t="shared" si="13"/>
        <v>5.0000000000000135E-2</v>
      </c>
      <c r="Q117" s="37"/>
      <c r="R117" s="4"/>
      <c r="S117" s="70"/>
    </row>
    <row r="118" spans="1:19" ht="15.6" x14ac:dyDescent="0.3">
      <c r="A118" s="55"/>
      <c r="B118" s="15" t="s">
        <v>89</v>
      </c>
      <c r="C118" s="19">
        <v>34093.320000000007</v>
      </c>
      <c r="D118" s="19">
        <v>18177.939999999999</v>
      </c>
      <c r="E118" s="19">
        <v>11059.470000000001</v>
      </c>
      <c r="F118" s="19">
        <v>13719</v>
      </c>
      <c r="G118" s="19">
        <v>10971.800000000001</v>
      </c>
      <c r="H118" s="19">
        <v>12241.65</v>
      </c>
      <c r="I118" s="19">
        <v>12210.160000000002</v>
      </c>
      <c r="J118" s="91">
        <v>16490.810000000001</v>
      </c>
      <c r="K118" s="105">
        <v>16640</v>
      </c>
      <c r="L118" s="19">
        <v>13900</v>
      </c>
      <c r="M118" s="19"/>
      <c r="N118" s="19">
        <v>13100</v>
      </c>
      <c r="O118" s="83">
        <v>17315.3505</v>
      </c>
      <c r="Q118" s="20"/>
      <c r="R118" s="4"/>
      <c r="S118" s="70"/>
    </row>
    <row r="119" spans="1:19" x14ac:dyDescent="0.25">
      <c r="A119" s="55"/>
      <c r="B119" s="14"/>
      <c r="C119" s="16"/>
      <c r="D119" s="16"/>
      <c r="E119" s="16"/>
      <c r="F119" s="16"/>
      <c r="G119" s="16"/>
      <c r="H119" s="16"/>
      <c r="I119" s="16"/>
      <c r="J119" s="89"/>
      <c r="K119" s="104"/>
      <c r="L119" s="37"/>
      <c r="M119" s="37"/>
      <c r="N119" s="37"/>
      <c r="O119" s="82"/>
      <c r="Q119" s="17"/>
      <c r="R119" s="4"/>
      <c r="S119" s="70"/>
    </row>
    <row r="120" spans="1:19" ht="15.6" x14ac:dyDescent="0.3">
      <c r="A120" s="55"/>
      <c r="B120" s="15" t="s">
        <v>90</v>
      </c>
      <c r="C120" s="16"/>
      <c r="D120" s="16"/>
      <c r="E120" s="16"/>
      <c r="F120" s="16"/>
      <c r="G120" s="16"/>
      <c r="H120" s="16"/>
      <c r="I120" s="16"/>
      <c r="J120" s="89"/>
      <c r="K120" s="104"/>
      <c r="L120" s="37"/>
      <c r="M120" s="37"/>
      <c r="N120" s="37"/>
      <c r="O120" s="82"/>
      <c r="Q120" s="17"/>
      <c r="R120" s="4"/>
      <c r="S120" s="70"/>
    </row>
    <row r="121" spans="1:19" x14ac:dyDescent="0.25">
      <c r="A121" s="55">
        <v>6451</v>
      </c>
      <c r="B121" s="14" t="s">
        <v>91</v>
      </c>
      <c r="C121" s="16">
        <v>37563.93</v>
      </c>
      <c r="D121" s="16">
        <v>31830.63</v>
      </c>
      <c r="E121" s="16">
        <v>33733.29</v>
      </c>
      <c r="F121" s="16">
        <v>22203</v>
      </c>
      <c r="G121" s="47">
        <v>23833.4</v>
      </c>
      <c r="H121" s="47">
        <v>24394.79</v>
      </c>
      <c r="I121" s="47">
        <v>22713.320000000003</v>
      </c>
      <c r="J121" s="90">
        <v>24807.470000000005</v>
      </c>
      <c r="K121" s="104">
        <v>30000</v>
      </c>
      <c r="L121" s="37">
        <v>25000</v>
      </c>
      <c r="M121" s="37"/>
      <c r="N121" s="37">
        <v>23500</v>
      </c>
      <c r="O121" s="82">
        <v>26047.843500000006</v>
      </c>
      <c r="P121" s="117">
        <f t="shared" ref="P121:P125" si="14">(O121-J121)/J121</f>
        <v>5.0000000000000051E-2</v>
      </c>
      <c r="Q121" s="23" t="s">
        <v>446</v>
      </c>
      <c r="R121" s="4"/>
      <c r="S121" s="70"/>
    </row>
    <row r="122" spans="1:19" x14ac:dyDescent="0.25">
      <c r="A122" s="55">
        <v>6452</v>
      </c>
      <c r="B122" s="14" t="s">
        <v>92</v>
      </c>
      <c r="C122" s="16">
        <v>36330</v>
      </c>
      <c r="D122" s="16">
        <v>37809.26</v>
      </c>
      <c r="E122" s="16">
        <v>24389.599999999999</v>
      </c>
      <c r="F122" s="16">
        <v>31381</v>
      </c>
      <c r="G122" s="47">
        <v>25904.940000000002</v>
      </c>
      <c r="H122" s="47">
        <v>21593.85</v>
      </c>
      <c r="I122" s="47">
        <v>21340.560000000001</v>
      </c>
      <c r="J122" s="90">
        <v>20215.250000000004</v>
      </c>
      <c r="K122" s="104">
        <v>31000</v>
      </c>
      <c r="L122" s="37">
        <v>26000</v>
      </c>
      <c r="M122" s="37"/>
      <c r="N122" s="37">
        <v>21500</v>
      </c>
      <c r="O122" s="82">
        <v>22641.080000000005</v>
      </c>
      <c r="P122" s="117">
        <f t="shared" si="14"/>
        <v>0.12000000000000006</v>
      </c>
      <c r="Q122" s="23" t="s">
        <v>445</v>
      </c>
      <c r="R122" s="4"/>
      <c r="S122" s="70"/>
    </row>
    <row r="123" spans="1:19" x14ac:dyDescent="0.25">
      <c r="A123" s="55">
        <v>6453</v>
      </c>
      <c r="B123" s="14" t="s">
        <v>93</v>
      </c>
      <c r="C123" s="16">
        <v>18802.04</v>
      </c>
      <c r="D123" s="16">
        <v>22379.8</v>
      </c>
      <c r="E123" s="16">
        <v>20351.009999999998</v>
      </c>
      <c r="F123" s="16">
        <v>8922</v>
      </c>
      <c r="G123" s="47">
        <v>17366.78</v>
      </c>
      <c r="H123" s="47">
        <v>20666.510000000002</v>
      </c>
      <c r="I123" s="47">
        <v>21109.379999999997</v>
      </c>
      <c r="J123" s="90">
        <v>28479.280000000002</v>
      </c>
      <c r="K123" s="104">
        <v>16500</v>
      </c>
      <c r="L123" s="37">
        <v>23843.790437049494</v>
      </c>
      <c r="M123" s="37"/>
      <c r="N123" s="37">
        <v>22500</v>
      </c>
      <c r="O123" s="82">
        <v>28479.280000000002</v>
      </c>
      <c r="P123" s="117">
        <f t="shared" si="14"/>
        <v>0</v>
      </c>
      <c r="Q123" s="23" t="s">
        <v>447</v>
      </c>
      <c r="R123" s="4"/>
      <c r="S123" s="70"/>
    </row>
    <row r="124" spans="1:19" x14ac:dyDescent="0.25">
      <c r="A124" s="55">
        <v>6454</v>
      </c>
      <c r="B124" s="14" t="s">
        <v>94</v>
      </c>
      <c r="C124" s="16">
        <v>9979.26</v>
      </c>
      <c r="D124" s="16">
        <v>8686.7000000000007</v>
      </c>
      <c r="E124" s="16">
        <v>4907.87</v>
      </c>
      <c r="F124" s="16">
        <v>6083</v>
      </c>
      <c r="G124" s="47">
        <v>6111.4499999999989</v>
      </c>
      <c r="H124" s="47">
        <v>6847.94</v>
      </c>
      <c r="I124" s="47">
        <v>9994.06</v>
      </c>
      <c r="J124" s="90">
        <v>14808.989999999998</v>
      </c>
      <c r="K124" s="104">
        <v>5500</v>
      </c>
      <c r="L124" s="37">
        <v>6000</v>
      </c>
      <c r="M124" s="37"/>
      <c r="N124" s="37">
        <v>7500</v>
      </c>
      <c r="O124" s="82">
        <v>15179.214749999997</v>
      </c>
      <c r="P124" s="117">
        <f t="shared" si="14"/>
        <v>2.4999999999999963E-2</v>
      </c>
      <c r="Q124" s="23" t="s">
        <v>448</v>
      </c>
      <c r="R124" s="4"/>
      <c r="S124" s="70"/>
    </row>
    <row r="125" spans="1:19" x14ac:dyDescent="0.25">
      <c r="A125" s="55">
        <v>6460</v>
      </c>
      <c r="B125" s="14" t="s">
        <v>95</v>
      </c>
      <c r="C125" s="16">
        <v>23712.97</v>
      </c>
      <c r="D125" s="16">
        <v>23806.63</v>
      </c>
      <c r="E125" s="16">
        <v>27778.26</v>
      </c>
      <c r="F125" s="16">
        <v>29550</v>
      </c>
      <c r="G125" s="47">
        <v>30329.759999999995</v>
      </c>
      <c r="H125" s="47">
        <v>30954.149999999994</v>
      </c>
      <c r="I125" s="47">
        <v>35938.009999999995</v>
      </c>
      <c r="J125" s="90">
        <v>37687.000000000007</v>
      </c>
      <c r="K125" s="104">
        <v>26700</v>
      </c>
      <c r="L125" s="37">
        <v>31506.891397427637</v>
      </c>
      <c r="M125" s="37"/>
      <c r="N125" s="37">
        <v>31239.652799999996</v>
      </c>
      <c r="O125" s="82">
        <v>41500</v>
      </c>
      <c r="P125" s="117">
        <f t="shared" si="14"/>
        <v>0.10117547164804819</v>
      </c>
      <c r="Q125" s="23" t="s">
        <v>449</v>
      </c>
      <c r="R125" s="4"/>
      <c r="S125" s="70"/>
    </row>
    <row r="126" spans="1:19" ht="15.6" x14ac:dyDescent="0.3">
      <c r="A126" s="55"/>
      <c r="B126" s="15" t="s">
        <v>96</v>
      </c>
      <c r="C126" s="19">
        <v>126388.2</v>
      </c>
      <c r="D126" s="19">
        <v>124513.02</v>
      </c>
      <c r="E126" s="19">
        <v>111160.02999999998</v>
      </c>
      <c r="F126" s="19">
        <v>98139</v>
      </c>
      <c r="G126" s="19">
        <v>103546.32999999999</v>
      </c>
      <c r="H126" s="19">
        <v>104457.23999999999</v>
      </c>
      <c r="I126" s="19">
        <v>111095.33</v>
      </c>
      <c r="J126" s="91">
        <v>125997.99000000002</v>
      </c>
      <c r="K126" s="105">
        <v>109700</v>
      </c>
      <c r="L126" s="19">
        <v>112350.68183447713</v>
      </c>
      <c r="M126" s="19"/>
      <c r="N126" s="19">
        <v>106239.6528</v>
      </c>
      <c r="O126" s="83">
        <v>133847.41825000002</v>
      </c>
      <c r="Q126" s="20"/>
      <c r="R126" s="4"/>
      <c r="S126" s="70"/>
    </row>
    <row r="127" spans="1:19" x14ac:dyDescent="0.25">
      <c r="A127" s="55"/>
      <c r="B127" s="14"/>
      <c r="C127" s="16"/>
      <c r="D127" s="16"/>
      <c r="E127" s="16"/>
      <c r="F127" s="16"/>
      <c r="G127" s="16"/>
      <c r="H127" s="16"/>
      <c r="I127" s="16"/>
      <c r="J127" s="89"/>
      <c r="K127" s="104"/>
      <c r="L127" s="37"/>
      <c r="M127" s="37"/>
      <c r="N127" s="37"/>
      <c r="O127" s="82"/>
      <c r="Q127" s="17"/>
      <c r="R127" s="4"/>
      <c r="S127" s="70"/>
    </row>
    <row r="128" spans="1:19" ht="15.6" x14ac:dyDescent="0.3">
      <c r="A128" s="55"/>
      <c r="B128" s="15" t="s">
        <v>97</v>
      </c>
      <c r="C128" s="16"/>
      <c r="D128" s="27"/>
      <c r="E128" s="16"/>
      <c r="F128" s="16"/>
      <c r="G128" s="16"/>
      <c r="H128" s="16"/>
      <c r="I128" s="16"/>
      <c r="J128" s="89"/>
      <c r="K128" s="104"/>
      <c r="L128" s="37"/>
      <c r="M128" s="37"/>
      <c r="N128" s="37"/>
      <c r="O128" s="82"/>
      <c r="Q128" s="17"/>
      <c r="R128" s="4"/>
      <c r="S128" s="70"/>
    </row>
    <row r="129" spans="1:19" x14ac:dyDescent="0.25">
      <c r="A129" s="55">
        <v>6610</v>
      </c>
      <c r="B129" s="14" t="s">
        <v>98</v>
      </c>
      <c r="C129" s="16">
        <v>301024.3</v>
      </c>
      <c r="D129" s="16">
        <v>331697.77</v>
      </c>
      <c r="E129" s="16">
        <v>383551.16</v>
      </c>
      <c r="F129" s="16">
        <v>384601</v>
      </c>
      <c r="G129" s="47">
        <v>379184.93</v>
      </c>
      <c r="H129" s="47">
        <v>412956.59</v>
      </c>
      <c r="I129" s="47">
        <v>337587.24</v>
      </c>
      <c r="J129" s="90">
        <v>370041.15</v>
      </c>
      <c r="K129" s="109">
        <v>392990</v>
      </c>
      <c r="L129" s="48">
        <v>414667</v>
      </c>
      <c r="M129" s="48"/>
      <c r="N129" s="48">
        <v>382903.88760000002</v>
      </c>
      <c r="O129" s="114">
        <v>404107.31690599996</v>
      </c>
      <c r="P129" s="117">
        <f>(O129-J129)/J129</f>
        <v>9.2060482749013017E-2</v>
      </c>
      <c r="Q129" s="23" t="s">
        <v>415</v>
      </c>
      <c r="R129" s="4"/>
      <c r="S129" s="70"/>
    </row>
    <row r="130" spans="1:19" x14ac:dyDescent="0.25">
      <c r="A130" s="55">
        <v>6621</v>
      </c>
      <c r="B130" s="14" t="s">
        <v>99</v>
      </c>
      <c r="C130" s="16">
        <v>28722.639999999999</v>
      </c>
      <c r="D130" s="16">
        <v>27104.44</v>
      </c>
      <c r="E130" s="16">
        <v>28753.279999999999</v>
      </c>
      <c r="F130" s="16">
        <v>29127</v>
      </c>
      <c r="G130" s="47">
        <v>29085.69</v>
      </c>
      <c r="H130" s="47">
        <v>31039.64</v>
      </c>
      <c r="I130" s="47">
        <v>25292.109999999997</v>
      </c>
      <c r="J130" s="90">
        <v>27329.669999999991</v>
      </c>
      <c r="K130" s="104">
        <v>30675</v>
      </c>
      <c r="L130" s="48">
        <v>31722</v>
      </c>
      <c r="M130" s="48"/>
      <c r="N130" s="48">
        <v>29292.147401400001</v>
      </c>
      <c r="O130" s="114">
        <v>30267.562922072997</v>
      </c>
      <c r="P130" s="117">
        <f t="shared" ref="P130:P142" si="15">(O130-J130)/J130</f>
        <v>0.10749829478632589</v>
      </c>
      <c r="Q130" s="28">
        <v>7.6499999999999999E-2</v>
      </c>
      <c r="R130" s="4"/>
      <c r="S130" s="70"/>
    </row>
    <row r="131" spans="1:19" x14ac:dyDescent="0.25">
      <c r="A131" s="55">
        <v>6622</v>
      </c>
      <c r="B131" s="14" t="s">
        <v>100</v>
      </c>
      <c r="C131" s="16">
        <v>2170</v>
      </c>
      <c r="D131" s="16">
        <v>2130</v>
      </c>
      <c r="E131" s="16">
        <v>1741.98</v>
      </c>
      <c r="F131" s="16">
        <v>2589</v>
      </c>
      <c r="G131" s="47">
        <v>2331.02</v>
      </c>
      <c r="H131" s="47">
        <v>2415</v>
      </c>
      <c r="I131" s="47">
        <v>2457.5000000000005</v>
      </c>
      <c r="J131" s="90">
        <v>2770.22</v>
      </c>
      <c r="K131" s="104">
        <v>2200</v>
      </c>
      <c r="L131" s="48">
        <v>3150</v>
      </c>
      <c r="M131" s="48"/>
      <c r="N131" s="48">
        <v>3089.9948994400002</v>
      </c>
      <c r="O131" s="114">
        <v>3233.2713842208009</v>
      </c>
      <c r="P131" s="117">
        <f t="shared" si="15"/>
        <v>0.16715328898816742</v>
      </c>
      <c r="Q131" s="17"/>
      <c r="R131" s="4"/>
      <c r="S131" s="70"/>
    </row>
    <row r="132" spans="1:19" x14ac:dyDescent="0.25">
      <c r="A132" s="69">
        <v>6623</v>
      </c>
      <c r="B132" s="14" t="s">
        <v>101</v>
      </c>
      <c r="C132" s="16">
        <v>33897.08</v>
      </c>
      <c r="D132" s="16">
        <v>35559.68</v>
      </c>
      <c r="E132" s="16">
        <v>69268.78</v>
      </c>
      <c r="F132" s="16">
        <v>70286</v>
      </c>
      <c r="G132" s="47">
        <v>69293.079999999987</v>
      </c>
      <c r="H132" s="47">
        <v>71136.119999999981</v>
      </c>
      <c r="I132" s="47">
        <v>60329.210000000014</v>
      </c>
      <c r="J132" s="90">
        <v>68469.78</v>
      </c>
      <c r="K132" s="104">
        <v>71328</v>
      </c>
      <c r="L132" s="48">
        <v>71661</v>
      </c>
      <c r="M132" s="48"/>
      <c r="N132" s="48">
        <v>71400</v>
      </c>
      <c r="O132" s="114">
        <v>95068.079999999973</v>
      </c>
      <c r="P132" s="117">
        <f t="shared" si="15"/>
        <v>0.38846772985103756</v>
      </c>
      <c r="Q132" s="23"/>
      <c r="R132" s="4"/>
      <c r="S132" s="70"/>
    </row>
    <row r="133" spans="1:19" x14ac:dyDescent="0.25">
      <c r="A133" s="69">
        <v>6624</v>
      </c>
      <c r="B133" s="14" t="s">
        <v>102</v>
      </c>
      <c r="C133" s="16">
        <v>2880.87</v>
      </c>
      <c r="D133" s="16">
        <v>2160.34</v>
      </c>
      <c r="E133" s="16">
        <v>5448.36</v>
      </c>
      <c r="F133" s="16">
        <v>5481</v>
      </c>
      <c r="G133" s="47">
        <v>4800</v>
      </c>
      <c r="H133" s="47">
        <v>4128</v>
      </c>
      <c r="I133" s="47">
        <v>3311</v>
      </c>
      <c r="J133" s="90">
        <v>4006.75</v>
      </c>
      <c r="K133" s="104">
        <v>5760</v>
      </c>
      <c r="L133" s="48">
        <v>4800</v>
      </c>
      <c r="M133" s="48"/>
      <c r="N133" s="48">
        <v>4200</v>
      </c>
      <c r="O133" s="114">
        <v>4957.2000000000007</v>
      </c>
      <c r="P133" s="117">
        <f t="shared" si="15"/>
        <v>0.23721220440506663</v>
      </c>
      <c r="Q133" s="17"/>
      <c r="R133" s="4"/>
      <c r="S133" s="70"/>
    </row>
    <row r="134" spans="1:19" x14ac:dyDescent="0.25">
      <c r="A134" s="69">
        <v>6625</v>
      </c>
      <c r="B134" s="14" t="s">
        <v>103</v>
      </c>
      <c r="C134" s="16">
        <v>1791.15</v>
      </c>
      <c r="D134" s="16">
        <v>1932.63</v>
      </c>
      <c r="E134" s="16">
        <v>1595.4</v>
      </c>
      <c r="F134" s="16">
        <v>1551</v>
      </c>
      <c r="G134" s="47">
        <v>1605.5700000000002</v>
      </c>
      <c r="H134" s="47">
        <v>1781.64</v>
      </c>
      <c r="I134" s="47">
        <v>1593.1199999999997</v>
      </c>
      <c r="J134" s="90">
        <v>1730.2999999999997</v>
      </c>
      <c r="K134" s="104">
        <v>1700</v>
      </c>
      <c r="L134" s="48">
        <v>1767.0000000000002</v>
      </c>
      <c r="M134" s="48"/>
      <c r="N134" s="48">
        <v>1463.91798462624</v>
      </c>
      <c r="O134" s="114">
        <v>1615.68</v>
      </c>
      <c r="P134" s="117">
        <f t="shared" si="15"/>
        <v>-6.6242848061029688E-2</v>
      </c>
      <c r="Q134" s="17"/>
      <c r="R134" s="4"/>
      <c r="S134" s="70"/>
    </row>
    <row r="135" spans="1:19" x14ac:dyDescent="0.25">
      <c r="A135" s="69">
        <v>6626</v>
      </c>
      <c r="B135" s="14" t="s">
        <v>104</v>
      </c>
      <c r="C135" s="16">
        <v>2309.8000000000002</v>
      </c>
      <c r="D135" s="16">
        <v>1607.98</v>
      </c>
      <c r="E135" s="16">
        <v>1689.02</v>
      </c>
      <c r="F135" s="16">
        <v>1394</v>
      </c>
      <c r="G135" s="47">
        <v>1476.9299999999998</v>
      </c>
      <c r="H135" s="47">
        <v>1677.2200000000005</v>
      </c>
      <c r="I135" s="47">
        <v>1501.2299999999998</v>
      </c>
      <c r="J135" s="90">
        <v>1627.1000000000004</v>
      </c>
      <c r="K135" s="104">
        <v>1600</v>
      </c>
      <c r="L135" s="48">
        <v>1605.0000000000002</v>
      </c>
      <c r="M135" s="48"/>
      <c r="N135" s="48">
        <v>2525.4508928571431</v>
      </c>
      <c r="O135" s="114">
        <v>1615.68</v>
      </c>
      <c r="P135" s="117">
        <f t="shared" si="15"/>
        <v>-7.0186220883782791E-3</v>
      </c>
      <c r="Q135" s="17"/>
      <c r="R135" s="4"/>
      <c r="S135" s="70"/>
    </row>
    <row r="136" spans="1:19" x14ac:dyDescent="0.25">
      <c r="A136" s="55">
        <v>6628</v>
      </c>
      <c r="B136" s="14" t="s">
        <v>105</v>
      </c>
      <c r="C136" s="16">
        <v>16897.060000000001</v>
      </c>
      <c r="D136" s="16">
        <v>24540.959999999999</v>
      </c>
      <c r="E136" s="16">
        <v>32635.35</v>
      </c>
      <c r="F136" s="16">
        <v>30996</v>
      </c>
      <c r="G136" s="47">
        <v>32327.839999999997</v>
      </c>
      <c r="H136" s="47">
        <v>33395.33</v>
      </c>
      <c r="I136" s="47">
        <v>28577.230000000003</v>
      </c>
      <c r="J136" s="90">
        <v>27860.009999999995</v>
      </c>
      <c r="K136" s="104">
        <v>34860</v>
      </c>
      <c r="L136" s="48">
        <v>34215</v>
      </c>
      <c r="M136" s="48"/>
      <c r="N136" s="48">
        <v>29359</v>
      </c>
      <c r="O136" s="114">
        <v>30909.468601599994</v>
      </c>
      <c r="P136" s="117">
        <f t="shared" si="15"/>
        <v>0.10945647907520492</v>
      </c>
      <c r="Q136" s="17"/>
      <c r="R136" s="4"/>
      <c r="S136" s="70"/>
    </row>
    <row r="137" spans="1:19" x14ac:dyDescent="0.25">
      <c r="A137" s="55">
        <v>6629</v>
      </c>
      <c r="B137" s="14" t="s">
        <v>106</v>
      </c>
      <c r="C137" s="16"/>
      <c r="D137" s="16"/>
      <c r="E137" s="16">
        <v>2443.7800000000002</v>
      </c>
      <c r="F137" s="16">
        <v>2692</v>
      </c>
      <c r="G137" s="47">
        <v>2301.2600000000002</v>
      </c>
      <c r="H137" s="47">
        <v>2411.7700000000004</v>
      </c>
      <c r="I137" s="47">
        <v>1758.24</v>
      </c>
      <c r="J137" s="90">
        <v>1421.52</v>
      </c>
      <c r="K137" s="104">
        <v>2700</v>
      </c>
      <c r="L137" s="48">
        <v>2638</v>
      </c>
      <c r="M137" s="48"/>
      <c r="N137" s="48">
        <v>270</v>
      </c>
      <c r="O137" s="116">
        <v>2450</v>
      </c>
      <c r="P137" s="117">
        <f t="shared" si="15"/>
        <v>0.72350723169564979</v>
      </c>
      <c r="Q137" s="23" t="s">
        <v>456</v>
      </c>
      <c r="R137" s="4"/>
      <c r="S137" s="70"/>
    </row>
    <row r="138" spans="1:19" x14ac:dyDescent="0.25">
      <c r="A138" s="55">
        <v>6630</v>
      </c>
      <c r="B138" s="14" t="s">
        <v>107</v>
      </c>
      <c r="C138" s="16"/>
      <c r="D138" s="16"/>
      <c r="E138" s="16"/>
      <c r="F138" s="16"/>
      <c r="G138" s="47"/>
      <c r="H138" s="80"/>
      <c r="I138" s="47">
        <v>65.900000000000006</v>
      </c>
      <c r="J138" s="92">
        <v>0</v>
      </c>
      <c r="K138" s="104">
        <v>650</v>
      </c>
      <c r="L138" s="48">
        <v>1000</v>
      </c>
      <c r="M138" s="48"/>
      <c r="N138" s="48">
        <v>1000</v>
      </c>
      <c r="O138" s="116">
        <v>500</v>
      </c>
      <c r="P138" s="117"/>
      <c r="Q138" s="23" t="s">
        <v>454</v>
      </c>
      <c r="R138" s="4"/>
      <c r="S138" s="70"/>
    </row>
    <row r="139" spans="1:19" x14ac:dyDescent="0.25">
      <c r="A139" s="55">
        <v>6641</v>
      </c>
      <c r="B139" s="14" t="s">
        <v>108</v>
      </c>
      <c r="C139" s="16"/>
      <c r="D139" s="16"/>
      <c r="E139" s="16">
        <v>2039.18</v>
      </c>
      <c r="F139" s="16">
        <v>2149</v>
      </c>
      <c r="G139" s="47">
        <v>2233.86</v>
      </c>
      <c r="H139" s="47">
        <v>2491.8000000000006</v>
      </c>
      <c r="I139" s="47">
        <v>2216.11</v>
      </c>
      <c r="J139" s="90">
        <v>2372.6900000000005</v>
      </c>
      <c r="K139" s="104">
        <v>2300</v>
      </c>
      <c r="L139" s="48">
        <v>2471.9999999999995</v>
      </c>
      <c r="M139" s="48"/>
      <c r="N139" s="48">
        <v>1615.8035150400003</v>
      </c>
      <c r="O139" s="114">
        <v>2499.0463020192001</v>
      </c>
      <c r="P139" s="117">
        <f t="shared" si="15"/>
        <v>5.3254450441987594E-2</v>
      </c>
      <c r="Q139" s="23" t="s">
        <v>455</v>
      </c>
      <c r="R139" s="4"/>
      <c r="S139" s="70"/>
    </row>
    <row r="140" spans="1:19" x14ac:dyDescent="0.25">
      <c r="A140" s="55">
        <v>6645</v>
      </c>
      <c r="B140" s="14" t="s">
        <v>109</v>
      </c>
      <c r="C140" s="16">
        <v>1200</v>
      </c>
      <c r="D140" s="16">
        <v>80.86</v>
      </c>
      <c r="E140" s="16">
        <v>1235.75</v>
      </c>
      <c r="F140" s="16">
        <v>1600</v>
      </c>
      <c r="G140" s="47">
        <v>3960.5999999999995</v>
      </c>
      <c r="H140" s="47">
        <v>2661.26</v>
      </c>
      <c r="I140" s="47">
        <v>3079.5899999999997</v>
      </c>
      <c r="J140" s="90">
        <v>0</v>
      </c>
      <c r="K140" s="104"/>
      <c r="L140" s="48">
        <v>1500</v>
      </c>
      <c r="M140" s="48"/>
      <c r="N140" s="48">
        <v>1500</v>
      </c>
      <c r="O140" s="116">
        <v>1500</v>
      </c>
      <c r="P140" s="117"/>
      <c r="Q140" s="17"/>
      <c r="R140" s="4"/>
      <c r="S140" s="70"/>
    </row>
    <row r="141" spans="1:19" x14ac:dyDescent="0.25">
      <c r="A141" s="55">
        <v>6646</v>
      </c>
      <c r="B141" s="14" t="s">
        <v>110</v>
      </c>
      <c r="C141" s="16">
        <v>2500</v>
      </c>
      <c r="D141" s="16">
        <v>1900</v>
      </c>
      <c r="E141" s="16">
        <v>2220</v>
      </c>
      <c r="F141" s="16">
        <v>2870</v>
      </c>
      <c r="G141" s="47">
        <v>3180</v>
      </c>
      <c r="H141" s="47">
        <v>3800</v>
      </c>
      <c r="I141" s="47">
        <v>360</v>
      </c>
      <c r="J141" s="90">
        <v>600</v>
      </c>
      <c r="K141" s="104">
        <v>2400</v>
      </c>
      <c r="L141" s="48">
        <v>3000</v>
      </c>
      <c r="M141" s="48"/>
      <c r="N141" s="48">
        <v>3000</v>
      </c>
      <c r="O141" s="114">
        <v>2600</v>
      </c>
      <c r="P141" s="117">
        <f t="shared" si="15"/>
        <v>3.3333333333333335</v>
      </c>
      <c r="Q141" s="23" t="s">
        <v>450</v>
      </c>
      <c r="R141" s="4"/>
      <c r="S141" s="70"/>
    </row>
    <row r="142" spans="1:19" ht="15.6" x14ac:dyDescent="0.3">
      <c r="A142" s="55"/>
      <c r="B142" s="15" t="s">
        <v>111</v>
      </c>
      <c r="C142" s="19">
        <v>393392.9</v>
      </c>
      <c r="D142" s="19">
        <v>428714.66000000003</v>
      </c>
      <c r="E142" s="19">
        <v>532622.04</v>
      </c>
      <c r="F142" s="19">
        <v>535336</v>
      </c>
      <c r="G142" s="19">
        <v>531780.77999999991</v>
      </c>
      <c r="H142" s="19">
        <v>569894.37000000011</v>
      </c>
      <c r="I142" s="19">
        <v>468128.48</v>
      </c>
      <c r="J142" s="91">
        <v>508229.18999999994</v>
      </c>
      <c r="K142" s="105">
        <v>549163</v>
      </c>
      <c r="L142" s="19">
        <v>574197</v>
      </c>
      <c r="M142" s="19"/>
      <c r="N142" s="19">
        <v>531620.2022933634</v>
      </c>
      <c r="O142" s="83">
        <v>581323.30611591297</v>
      </c>
      <c r="P142" s="117">
        <f t="shared" si="15"/>
        <v>0.14382116878393592</v>
      </c>
      <c r="Q142" s="20"/>
      <c r="R142" s="4"/>
      <c r="S142" s="70"/>
    </row>
    <row r="143" spans="1:19" x14ac:dyDescent="0.25">
      <c r="A143" s="55"/>
      <c r="B143" s="14"/>
      <c r="C143" s="16"/>
      <c r="D143" s="16"/>
      <c r="E143" s="16"/>
      <c r="F143" s="16"/>
      <c r="G143" s="16"/>
      <c r="H143" s="16"/>
      <c r="I143" s="16"/>
      <c r="J143" s="89"/>
      <c r="K143" s="104"/>
      <c r="L143" s="43">
        <v>0</v>
      </c>
      <c r="M143" s="43"/>
      <c r="N143" s="43"/>
      <c r="O143" s="86"/>
      <c r="Q143" s="17"/>
      <c r="R143" s="4"/>
      <c r="S143" s="70"/>
    </row>
    <row r="144" spans="1:19" ht="15.6" x14ac:dyDescent="0.3">
      <c r="A144" s="55"/>
      <c r="B144" s="15" t="s">
        <v>112</v>
      </c>
      <c r="C144" s="16"/>
      <c r="D144" s="16"/>
      <c r="E144" s="16"/>
      <c r="F144" s="16"/>
      <c r="G144" s="16"/>
      <c r="H144" s="16"/>
      <c r="I144" s="16"/>
      <c r="J144" s="89"/>
      <c r="K144" s="104"/>
      <c r="L144" s="37"/>
      <c r="M144" s="37"/>
      <c r="N144" s="37"/>
      <c r="O144" s="82"/>
      <c r="Q144" s="17"/>
      <c r="R144" s="4"/>
      <c r="S144" s="70"/>
    </row>
    <row r="145" spans="1:19" x14ac:dyDescent="0.25">
      <c r="A145" s="55">
        <v>6661</v>
      </c>
      <c r="B145" s="14" t="s">
        <v>113</v>
      </c>
      <c r="C145" s="16">
        <v>8132.97</v>
      </c>
      <c r="D145" s="16">
        <v>5257.37</v>
      </c>
      <c r="E145" s="16">
        <v>3193.27</v>
      </c>
      <c r="F145" s="16">
        <v>4537</v>
      </c>
      <c r="G145" s="47">
        <v>4156.71</v>
      </c>
      <c r="H145" s="47">
        <v>7519.34</v>
      </c>
      <c r="I145" s="47">
        <v>2673.0099999999998</v>
      </c>
      <c r="J145" s="90">
        <v>6623.7</v>
      </c>
      <c r="K145" s="104">
        <v>4500</v>
      </c>
      <c r="L145" s="37">
        <v>6350</v>
      </c>
      <c r="M145" s="37"/>
      <c r="N145" s="37">
        <v>14950</v>
      </c>
      <c r="O145" s="82">
        <v>7617.2549999999992</v>
      </c>
      <c r="P145" s="117">
        <f t="shared" ref="P145:P164" si="16">(O145-J145)/J145</f>
        <v>0.14999999999999991</v>
      </c>
      <c r="Q145" s="23" t="s">
        <v>452</v>
      </c>
      <c r="R145" s="4"/>
      <c r="S145" s="70"/>
    </row>
    <row r="146" spans="1:19" x14ac:dyDescent="0.25">
      <c r="A146" s="55">
        <v>6662</v>
      </c>
      <c r="B146" s="14" t="s">
        <v>114</v>
      </c>
      <c r="C146" s="16">
        <v>9704.6200000000008</v>
      </c>
      <c r="D146" s="16">
        <v>9173.6</v>
      </c>
      <c r="E146" s="16">
        <v>4830.75</v>
      </c>
      <c r="F146" s="16">
        <v>4730</v>
      </c>
      <c r="G146" s="47">
        <v>5771.62</v>
      </c>
      <c r="H146" s="47">
        <v>4346.5199999999995</v>
      </c>
      <c r="I146" s="47">
        <v>2997.92</v>
      </c>
      <c r="J146" s="90">
        <v>4101.3100000000004</v>
      </c>
      <c r="K146" s="104">
        <v>5000</v>
      </c>
      <c r="L146" s="37">
        <v>5600</v>
      </c>
      <c r="M146" s="37"/>
      <c r="N146" s="37">
        <v>5100</v>
      </c>
      <c r="O146" s="82">
        <v>4716.5065000000004</v>
      </c>
      <c r="P146" s="117">
        <f t="shared" si="16"/>
        <v>0.15</v>
      </c>
      <c r="Q146" s="17"/>
      <c r="R146" s="4"/>
      <c r="S146" s="70"/>
    </row>
    <row r="147" spans="1:19" x14ac:dyDescent="0.25">
      <c r="A147" s="55">
        <v>6663</v>
      </c>
      <c r="B147" s="14" t="s">
        <v>115</v>
      </c>
      <c r="C147" s="16">
        <v>5126.8</v>
      </c>
      <c r="D147" s="16">
        <v>5488.87</v>
      </c>
      <c r="E147" s="16">
        <v>4515.53</v>
      </c>
      <c r="F147" s="16">
        <v>3000</v>
      </c>
      <c r="G147" s="47">
        <v>2910.6899999999996</v>
      </c>
      <c r="H147" s="47">
        <v>1744.6200000000001</v>
      </c>
      <c r="I147" s="47">
        <v>1742.9299999999998</v>
      </c>
      <c r="J147" s="90">
        <v>2549.9100000000003</v>
      </c>
      <c r="K147" s="104">
        <v>4000</v>
      </c>
      <c r="L147" s="37">
        <v>3900</v>
      </c>
      <c r="M147" s="37"/>
      <c r="N147" s="37">
        <v>2850</v>
      </c>
      <c r="O147" s="82">
        <v>2677.4055000000003</v>
      </c>
      <c r="P147" s="117">
        <f t="shared" si="16"/>
        <v>4.9999999999999989E-2</v>
      </c>
      <c r="Q147" s="17"/>
      <c r="R147" s="4"/>
      <c r="S147" s="70"/>
    </row>
    <row r="148" spans="1:19" x14ac:dyDescent="0.25">
      <c r="A148" s="55">
        <v>6664</v>
      </c>
      <c r="B148" s="14" t="s">
        <v>116</v>
      </c>
      <c r="C148" s="16">
        <v>4336.37</v>
      </c>
      <c r="D148" s="16">
        <v>2465.2600000000002</v>
      </c>
      <c r="E148" s="16">
        <v>2817.69</v>
      </c>
      <c r="F148" s="16">
        <v>2947</v>
      </c>
      <c r="G148" s="47">
        <v>3479.72</v>
      </c>
      <c r="H148" s="47">
        <v>4454.4999999999991</v>
      </c>
      <c r="I148" s="47">
        <v>250.09</v>
      </c>
      <c r="J148" s="90">
        <v>1530.54</v>
      </c>
      <c r="K148" s="104">
        <v>3200</v>
      </c>
      <c r="L148" s="37">
        <v>3200</v>
      </c>
      <c r="M148" s="37"/>
      <c r="N148" s="37">
        <v>3000</v>
      </c>
      <c r="O148" s="82">
        <v>1607.067</v>
      </c>
      <c r="P148" s="117">
        <f t="shared" si="16"/>
        <v>5.0000000000000031E-2</v>
      </c>
      <c r="Q148" s="17"/>
      <c r="R148" s="4"/>
      <c r="S148" s="70"/>
    </row>
    <row r="149" spans="1:19" x14ac:dyDescent="0.25">
      <c r="A149" s="55">
        <v>6665</v>
      </c>
      <c r="B149" s="14" t="s">
        <v>117</v>
      </c>
      <c r="C149" s="16">
        <v>1152.08</v>
      </c>
      <c r="D149" s="16">
        <v>2484.87</v>
      </c>
      <c r="E149" s="16">
        <v>869.53</v>
      </c>
      <c r="F149" s="16">
        <v>869</v>
      </c>
      <c r="G149" s="47">
        <v>906.39</v>
      </c>
      <c r="H149" s="47">
        <v>983.43999999999994</v>
      </c>
      <c r="I149" s="47">
        <v>892.62</v>
      </c>
      <c r="J149" s="90">
        <v>438.33</v>
      </c>
      <c r="K149" s="104">
        <v>920</v>
      </c>
      <c r="L149" s="37">
        <v>900</v>
      </c>
      <c r="M149" s="37"/>
      <c r="N149" s="37">
        <v>900</v>
      </c>
      <c r="O149" s="82">
        <v>460.24650000000003</v>
      </c>
      <c r="P149" s="117">
        <f t="shared" si="16"/>
        <v>5.00000000000001E-2</v>
      </c>
      <c r="Q149" s="17"/>
      <c r="R149" s="4"/>
      <c r="S149" s="70"/>
    </row>
    <row r="150" spans="1:19" x14ac:dyDescent="0.25">
      <c r="A150" s="55">
        <v>6666</v>
      </c>
      <c r="B150" s="14" t="s">
        <v>118</v>
      </c>
      <c r="C150" s="16">
        <v>5104.55</v>
      </c>
      <c r="D150" s="16">
        <v>5624.62</v>
      </c>
      <c r="E150" s="16">
        <v>4034.06</v>
      </c>
      <c r="F150" s="16">
        <v>4824</v>
      </c>
      <c r="G150" s="47">
        <v>4144.42</v>
      </c>
      <c r="H150" s="47">
        <v>4215.87</v>
      </c>
      <c r="I150" s="47">
        <v>3922.0300000000007</v>
      </c>
      <c r="J150" s="90">
        <v>4918.72</v>
      </c>
      <c r="K150" s="104">
        <v>4800</v>
      </c>
      <c r="L150" s="37">
        <v>4472</v>
      </c>
      <c r="M150" s="37"/>
      <c r="N150" s="37">
        <v>5072</v>
      </c>
      <c r="O150" s="82">
        <v>5164.6560000000009</v>
      </c>
      <c r="P150" s="117">
        <f t="shared" si="16"/>
        <v>5.0000000000000121E-2</v>
      </c>
      <c r="Q150" s="17"/>
      <c r="R150" s="4"/>
      <c r="S150" s="70"/>
    </row>
    <row r="151" spans="1:19" x14ac:dyDescent="0.25">
      <c r="A151" s="55">
        <v>6668</v>
      </c>
      <c r="B151" s="14" t="s">
        <v>119</v>
      </c>
      <c r="C151" s="16">
        <v>3005.15</v>
      </c>
      <c r="D151" s="16">
        <v>2411.7800000000002</v>
      </c>
      <c r="E151" s="16">
        <v>953.06</v>
      </c>
      <c r="F151" s="16">
        <v>10513</v>
      </c>
      <c r="G151" s="47">
        <v>1040.43</v>
      </c>
      <c r="H151" s="47">
        <v>778.08</v>
      </c>
      <c r="I151" s="47">
        <v>777.16999999999985</v>
      </c>
      <c r="J151" s="90">
        <v>1267.8200000000002</v>
      </c>
      <c r="K151" s="104">
        <v>1050</v>
      </c>
      <c r="L151" s="37">
        <v>1100</v>
      </c>
      <c r="M151" s="37"/>
      <c r="N151" s="37">
        <v>1100</v>
      </c>
      <c r="O151" s="82">
        <v>1331.2110000000002</v>
      </c>
      <c r="P151" s="117">
        <f t="shared" si="16"/>
        <v>5.0000000000000051E-2</v>
      </c>
      <c r="Q151" s="17"/>
      <c r="R151" s="4"/>
      <c r="S151" s="70"/>
    </row>
    <row r="152" spans="1:19" x14ac:dyDescent="0.25">
      <c r="A152" s="55">
        <v>6669</v>
      </c>
      <c r="B152" s="21" t="s">
        <v>173</v>
      </c>
      <c r="C152" s="16">
        <v>7573.44</v>
      </c>
      <c r="D152" s="16">
        <v>2274.39</v>
      </c>
      <c r="E152" s="16">
        <v>1006.3</v>
      </c>
      <c r="F152" s="16">
        <v>68</v>
      </c>
      <c r="G152" s="47">
        <v>4629</v>
      </c>
      <c r="H152" s="47">
        <v>3173.05</v>
      </c>
      <c r="I152" s="47">
        <v>3635.74</v>
      </c>
      <c r="J152" s="90">
        <v>1158.31</v>
      </c>
      <c r="K152" s="104">
        <v>850</v>
      </c>
      <c r="L152" s="37">
        <v>1550</v>
      </c>
      <c r="M152" s="37"/>
      <c r="N152" s="37">
        <v>2300</v>
      </c>
      <c r="O152" s="82">
        <v>1216.2255</v>
      </c>
      <c r="P152" s="117">
        <f t="shared" si="16"/>
        <v>5.0000000000000058E-2</v>
      </c>
      <c r="Q152" s="17"/>
      <c r="R152" s="4"/>
      <c r="S152" s="70"/>
    </row>
    <row r="153" spans="1:19" x14ac:dyDescent="0.25">
      <c r="A153" s="55">
        <v>6670</v>
      </c>
      <c r="B153" s="14" t="s">
        <v>120</v>
      </c>
      <c r="C153" s="16">
        <v>2114.54</v>
      </c>
      <c r="D153" s="16">
        <v>1227.29</v>
      </c>
      <c r="E153" s="16">
        <v>694</v>
      </c>
      <c r="F153" s="16">
        <v>984</v>
      </c>
      <c r="G153" s="47">
        <v>534.30999999999995</v>
      </c>
      <c r="H153" s="47">
        <v>493</v>
      </c>
      <c r="I153" s="47">
        <v>398</v>
      </c>
      <c r="J153" s="90">
        <v>596.68999999999994</v>
      </c>
      <c r="K153" s="104">
        <v>1100</v>
      </c>
      <c r="L153" s="37">
        <v>1000</v>
      </c>
      <c r="M153" s="37"/>
      <c r="N153" s="37">
        <v>1000</v>
      </c>
      <c r="O153" s="82">
        <v>626.52449999999999</v>
      </c>
      <c r="P153" s="117">
        <f t="shared" si="16"/>
        <v>5.0000000000000086E-2</v>
      </c>
      <c r="Q153" s="17"/>
      <c r="R153" s="4"/>
      <c r="S153" s="70"/>
    </row>
    <row r="154" spans="1:19" x14ac:dyDescent="0.25">
      <c r="A154" s="55">
        <v>6671</v>
      </c>
      <c r="B154" s="14" t="s">
        <v>121</v>
      </c>
      <c r="C154" s="16">
        <v>1547.77</v>
      </c>
      <c r="D154" s="16">
        <v>4906.66</v>
      </c>
      <c r="E154" s="16">
        <v>5165.7700000000004</v>
      </c>
      <c r="F154" s="16">
        <v>483</v>
      </c>
      <c r="G154" s="47">
        <v>671.8</v>
      </c>
      <c r="H154" s="47">
        <v>316.64</v>
      </c>
      <c r="I154" s="80"/>
      <c r="J154" s="90">
        <v>499.49999999999994</v>
      </c>
      <c r="K154" s="104">
        <v>950</v>
      </c>
      <c r="L154" s="37">
        <v>1000</v>
      </c>
      <c r="M154" s="37"/>
      <c r="N154" s="37">
        <v>1000</v>
      </c>
      <c r="O154" s="82">
        <v>524.47499999999991</v>
      </c>
      <c r="P154" s="117">
        <f t="shared" si="16"/>
        <v>4.999999999999994E-2</v>
      </c>
      <c r="Q154" s="17"/>
      <c r="R154" s="4"/>
      <c r="S154" s="70"/>
    </row>
    <row r="155" spans="1:19" x14ac:dyDescent="0.25">
      <c r="A155" s="55">
        <v>6672</v>
      </c>
      <c r="B155" s="14" t="s">
        <v>122</v>
      </c>
      <c r="C155" s="16">
        <v>54297.39</v>
      </c>
      <c r="D155" s="16">
        <v>25534.48</v>
      </c>
      <c r="E155" s="16">
        <v>18022.599999999999</v>
      </c>
      <c r="F155" s="16">
        <v>17112</v>
      </c>
      <c r="G155" s="47">
        <v>27797.8</v>
      </c>
      <c r="H155" s="47">
        <v>27610.809999999998</v>
      </c>
      <c r="I155" s="47">
        <v>28698.379999999997</v>
      </c>
      <c r="J155" s="90">
        <v>54118.660000000011</v>
      </c>
      <c r="K155" s="109">
        <v>26500</v>
      </c>
      <c r="L155" s="37">
        <v>26000</v>
      </c>
      <c r="M155" s="37"/>
      <c r="N155" s="37">
        <v>50100</v>
      </c>
      <c r="O155" s="82">
        <v>47000</v>
      </c>
      <c r="P155" s="117">
        <f t="shared" si="16"/>
        <v>-0.13153799447362535</v>
      </c>
      <c r="Q155" s="23" t="s">
        <v>451</v>
      </c>
      <c r="R155" s="4"/>
      <c r="S155" s="70"/>
    </row>
    <row r="156" spans="1:19" x14ac:dyDescent="0.25">
      <c r="A156" s="55">
        <v>6673</v>
      </c>
      <c r="B156" s="14" t="s">
        <v>123</v>
      </c>
      <c r="C156" s="16">
        <v>22134.11</v>
      </c>
      <c r="D156" s="16">
        <v>23448.04</v>
      </c>
      <c r="E156" s="16">
        <v>22160.91</v>
      </c>
      <c r="F156" s="16">
        <v>24968</v>
      </c>
      <c r="G156" s="47">
        <v>24619.22</v>
      </c>
      <c r="H156" s="47">
        <v>29387.32</v>
      </c>
      <c r="I156" s="47">
        <v>27681.65</v>
      </c>
      <c r="J156" s="90">
        <v>25784.679999999993</v>
      </c>
      <c r="K156" s="109">
        <v>24000</v>
      </c>
      <c r="L156" s="37">
        <v>25000</v>
      </c>
      <c r="M156" s="37"/>
      <c r="N156" s="37">
        <v>19891.36</v>
      </c>
      <c r="O156" s="82">
        <v>28363.147999999994</v>
      </c>
      <c r="P156" s="117">
        <f t="shared" si="16"/>
        <v>0.10000000000000006</v>
      </c>
      <c r="Q156" s="23" t="s">
        <v>424</v>
      </c>
      <c r="R156" s="4"/>
      <c r="S156" s="70"/>
    </row>
    <row r="157" spans="1:19" x14ac:dyDescent="0.25">
      <c r="A157" s="55">
        <v>6674</v>
      </c>
      <c r="B157" s="14" t="s">
        <v>124</v>
      </c>
      <c r="C157" s="16">
        <v>1213.9100000000001</v>
      </c>
      <c r="D157" s="16">
        <v>880.4</v>
      </c>
      <c r="E157" s="16">
        <v>230.6</v>
      </c>
      <c r="F157" s="16">
        <v>891</v>
      </c>
      <c r="G157" s="47">
        <v>2293.94</v>
      </c>
      <c r="H157" s="47">
        <v>2252.7500000000005</v>
      </c>
      <c r="I157" s="47">
        <v>2141.5</v>
      </c>
      <c r="J157" s="90">
        <v>2530.4899999999998</v>
      </c>
      <c r="K157" s="104">
        <v>600</v>
      </c>
      <c r="L157" s="37">
        <v>2460</v>
      </c>
      <c r="M157" s="37"/>
      <c r="N157" s="37">
        <v>2460</v>
      </c>
      <c r="O157" s="82">
        <v>2657.0144999999998</v>
      </c>
      <c r="P157" s="117">
        <f t="shared" si="16"/>
        <v>0.05</v>
      </c>
      <c r="Q157" s="17"/>
      <c r="R157" s="4"/>
      <c r="S157" s="70"/>
    </row>
    <row r="158" spans="1:19" x14ac:dyDescent="0.25">
      <c r="A158" s="55">
        <v>6675</v>
      </c>
      <c r="B158" s="14" t="s">
        <v>125</v>
      </c>
      <c r="C158" s="16">
        <v>3227.5</v>
      </c>
      <c r="D158" s="16">
        <v>4371.4399999999996</v>
      </c>
      <c r="E158" s="16">
        <v>6770.55</v>
      </c>
      <c r="F158" s="16">
        <v>7793</v>
      </c>
      <c r="G158" s="47">
        <v>9020.9200000000019</v>
      </c>
      <c r="H158" s="47">
        <v>9130.4500000000007</v>
      </c>
      <c r="I158" s="47">
        <v>7108.28</v>
      </c>
      <c r="J158" s="90">
        <v>10722.02</v>
      </c>
      <c r="K158" s="104">
        <v>8000</v>
      </c>
      <c r="L158" s="37">
        <v>9660</v>
      </c>
      <c r="M158" s="37"/>
      <c r="N158" s="37">
        <v>11160</v>
      </c>
      <c r="O158" s="82">
        <v>10990.0705</v>
      </c>
      <c r="P158" s="117">
        <f t="shared" si="16"/>
        <v>2.4999999999999939E-2</v>
      </c>
      <c r="Q158" s="17"/>
      <c r="R158" s="4"/>
      <c r="S158" s="70"/>
    </row>
    <row r="159" spans="1:19" x14ac:dyDescent="0.25">
      <c r="A159" s="55">
        <v>6677</v>
      </c>
      <c r="B159" s="14" t="s">
        <v>126</v>
      </c>
      <c r="C159" s="16">
        <v>920.3</v>
      </c>
      <c r="D159" s="16">
        <v>0</v>
      </c>
      <c r="E159" s="16">
        <v>835.37</v>
      </c>
      <c r="F159" s="16">
        <v>5</v>
      </c>
      <c r="G159" s="47">
        <v>153.96</v>
      </c>
      <c r="H159" s="47">
        <v>384.39000000000004</v>
      </c>
      <c r="I159" s="47">
        <v>186.87</v>
      </c>
      <c r="J159" s="90">
        <v>31.65</v>
      </c>
      <c r="K159" s="104"/>
      <c r="L159" s="37">
        <v>0</v>
      </c>
      <c r="M159" s="37"/>
      <c r="N159" s="37"/>
      <c r="O159" s="82">
        <v>36.397499999999994</v>
      </c>
      <c r="P159" s="117">
        <f t="shared" si="16"/>
        <v>0.14999999999999986</v>
      </c>
      <c r="Q159" s="17"/>
      <c r="R159" s="4"/>
      <c r="S159" s="70"/>
    </row>
    <row r="160" spans="1:19" x14ac:dyDescent="0.25">
      <c r="A160" s="55">
        <v>6678</v>
      </c>
      <c r="B160" s="14" t="s">
        <v>127</v>
      </c>
      <c r="C160" s="16">
        <v>767.26</v>
      </c>
      <c r="D160" s="16">
        <v>355.3</v>
      </c>
      <c r="E160" s="16"/>
      <c r="F160" s="16">
        <v>0</v>
      </c>
      <c r="G160" s="47"/>
      <c r="H160" s="80"/>
      <c r="I160" s="80"/>
      <c r="J160" s="92"/>
      <c r="K160" s="104"/>
      <c r="L160" s="37">
        <v>0</v>
      </c>
      <c r="M160" s="37"/>
      <c r="N160" s="37"/>
      <c r="O160" s="82">
        <v>0</v>
      </c>
      <c r="P160" s="117"/>
      <c r="Q160" s="17"/>
      <c r="R160" s="4"/>
      <c r="S160" s="70"/>
    </row>
    <row r="161" spans="1:19" x14ac:dyDescent="0.25">
      <c r="A161" s="55">
        <v>6679</v>
      </c>
      <c r="B161" s="14" t="s">
        <v>128</v>
      </c>
      <c r="C161" s="16"/>
      <c r="D161" s="16">
        <v>671.45</v>
      </c>
      <c r="E161" s="16"/>
      <c r="F161" s="16">
        <v>288</v>
      </c>
      <c r="G161" s="47">
        <v>766.39</v>
      </c>
      <c r="H161" s="47">
        <v>252.51999999999998</v>
      </c>
      <c r="I161" s="47">
        <v>60</v>
      </c>
      <c r="J161" s="90">
        <v>247.5</v>
      </c>
      <c r="K161" s="104">
        <v>500</v>
      </c>
      <c r="L161" s="37">
        <v>0</v>
      </c>
      <c r="M161" s="37"/>
      <c r="N161" s="37">
        <v>0</v>
      </c>
      <c r="O161" s="82">
        <v>284.625</v>
      </c>
      <c r="P161" s="117">
        <f t="shared" si="16"/>
        <v>0.15</v>
      </c>
      <c r="Q161" s="17" t="s">
        <v>181</v>
      </c>
      <c r="R161" s="4"/>
      <c r="S161" s="70"/>
    </row>
    <row r="162" spans="1:19" x14ac:dyDescent="0.25">
      <c r="A162" s="55">
        <v>6680</v>
      </c>
      <c r="B162" s="14" t="s">
        <v>129</v>
      </c>
      <c r="C162" s="16">
        <v>211.32</v>
      </c>
      <c r="D162" s="16">
        <v>235.71</v>
      </c>
      <c r="E162" s="16">
        <v>120.53</v>
      </c>
      <c r="F162" s="16">
        <v>219</v>
      </c>
      <c r="G162" s="47">
        <v>0</v>
      </c>
      <c r="H162" s="80"/>
      <c r="I162" s="47">
        <v>51.47</v>
      </c>
      <c r="J162" s="92"/>
      <c r="K162" s="104">
        <v>400</v>
      </c>
      <c r="L162" s="37">
        <v>0</v>
      </c>
      <c r="M162" s="37"/>
      <c r="N162" s="37">
        <v>500</v>
      </c>
      <c r="O162" s="82">
        <v>250</v>
      </c>
      <c r="P162" s="117"/>
      <c r="Q162" s="17"/>
      <c r="R162" s="4"/>
      <c r="S162" s="70"/>
    </row>
    <row r="163" spans="1:19" x14ac:dyDescent="0.25">
      <c r="A163" s="55">
        <v>6685</v>
      </c>
      <c r="B163" s="14" t="s">
        <v>130</v>
      </c>
      <c r="C163" s="16">
        <v>8178.39</v>
      </c>
      <c r="D163" s="16">
        <v>9995.82</v>
      </c>
      <c r="E163" s="16">
        <v>2727.16</v>
      </c>
      <c r="F163" s="16">
        <v>2776</v>
      </c>
      <c r="G163" s="47">
        <v>1922.15</v>
      </c>
      <c r="H163" s="47">
        <v>3964.9</v>
      </c>
      <c r="I163" s="80"/>
      <c r="J163" s="90">
        <v>4708.3100000000004</v>
      </c>
      <c r="K163" s="104">
        <v>3200</v>
      </c>
      <c r="L163" s="37">
        <v>2400</v>
      </c>
      <c r="M163" s="37"/>
      <c r="N163" s="37">
        <v>5600</v>
      </c>
      <c r="O163" s="82">
        <v>5414.5564999999997</v>
      </c>
      <c r="P163" s="117">
        <f t="shared" si="16"/>
        <v>0.14999999999999983</v>
      </c>
      <c r="Q163" s="23" t="s">
        <v>131</v>
      </c>
      <c r="R163" s="4"/>
      <c r="S163" s="70"/>
    </row>
    <row r="164" spans="1:19" x14ac:dyDescent="0.25">
      <c r="A164" s="55">
        <v>6695</v>
      </c>
      <c r="B164" s="14" t="s">
        <v>132</v>
      </c>
      <c r="C164" s="16">
        <v>5518.97</v>
      </c>
      <c r="D164" s="16">
        <v>8540.24</v>
      </c>
      <c r="E164" s="16">
        <v>6631.42</v>
      </c>
      <c r="F164" s="16">
        <v>6521</v>
      </c>
      <c r="G164" s="47">
        <v>2649.95</v>
      </c>
      <c r="H164" s="47">
        <v>4598.68</v>
      </c>
      <c r="I164" s="47">
        <v>1489.89</v>
      </c>
      <c r="J164" s="90">
        <v>5645.12</v>
      </c>
      <c r="K164" s="104">
        <v>7800</v>
      </c>
      <c r="L164" s="37">
        <v>10300</v>
      </c>
      <c r="M164" s="37"/>
      <c r="N164" s="37">
        <v>6000</v>
      </c>
      <c r="O164" s="82">
        <v>6491.887999999999</v>
      </c>
      <c r="P164" s="117">
        <f t="shared" si="16"/>
        <v>0.14999999999999986</v>
      </c>
      <c r="Q164" s="17"/>
      <c r="R164" s="4"/>
      <c r="S164" s="70"/>
    </row>
    <row r="165" spans="1:19" ht="15.6" x14ac:dyDescent="0.3">
      <c r="A165" s="55"/>
      <c r="B165" s="15" t="s">
        <v>133</v>
      </c>
      <c r="C165" s="19">
        <v>144267.44</v>
      </c>
      <c r="D165" s="19">
        <v>115347.58999999998</v>
      </c>
      <c r="E165" s="19">
        <v>85579.1</v>
      </c>
      <c r="F165" s="19">
        <v>93528</v>
      </c>
      <c r="G165" s="19">
        <v>97469.42</v>
      </c>
      <c r="H165" s="19">
        <v>105606.88</v>
      </c>
      <c r="I165" s="19">
        <v>84707.55</v>
      </c>
      <c r="J165" s="91">
        <v>127473.26</v>
      </c>
      <c r="K165" s="105">
        <v>97370</v>
      </c>
      <c r="L165" s="19">
        <v>104892</v>
      </c>
      <c r="M165" s="19"/>
      <c r="N165" s="19">
        <v>132983.35999999999</v>
      </c>
      <c r="O165" s="83">
        <v>127429.27250000002</v>
      </c>
      <c r="Q165" s="20"/>
      <c r="R165" s="4"/>
      <c r="S165" s="70"/>
    </row>
    <row r="166" spans="1:19" x14ac:dyDescent="0.25">
      <c r="A166" s="55"/>
      <c r="B166" s="14"/>
      <c r="C166" s="16"/>
      <c r="D166" s="16"/>
      <c r="E166" s="16"/>
      <c r="F166" s="16"/>
      <c r="G166" s="16"/>
      <c r="H166" s="16"/>
      <c r="I166" s="16"/>
      <c r="J166" s="89"/>
      <c r="K166" s="104"/>
      <c r="L166" s="37"/>
      <c r="M166" s="37"/>
      <c r="N166" s="37"/>
      <c r="O166" s="82"/>
      <c r="Q166" s="17"/>
      <c r="R166" s="4"/>
      <c r="S166" s="70"/>
    </row>
    <row r="167" spans="1:19" ht="15.6" x14ac:dyDescent="0.3">
      <c r="A167" s="55"/>
      <c r="B167" s="15" t="s">
        <v>134</v>
      </c>
      <c r="C167" s="16"/>
      <c r="D167" s="16"/>
      <c r="E167" s="16"/>
      <c r="F167" s="16"/>
      <c r="G167" s="16"/>
      <c r="H167" s="16"/>
      <c r="I167" s="16"/>
      <c r="J167" s="89"/>
      <c r="K167" s="104"/>
      <c r="L167" s="37"/>
      <c r="M167" s="37"/>
      <c r="N167" s="37"/>
      <c r="O167" s="82"/>
      <c r="Q167" s="17"/>
      <c r="R167" s="4"/>
      <c r="S167" s="70"/>
    </row>
    <row r="168" spans="1:19" x14ac:dyDescent="0.25">
      <c r="A168" s="55">
        <v>6720</v>
      </c>
      <c r="B168" s="18" t="s">
        <v>182</v>
      </c>
      <c r="C168" s="16"/>
      <c r="D168" s="16"/>
      <c r="E168" s="16"/>
      <c r="F168" s="16">
        <v>106</v>
      </c>
      <c r="G168" s="47">
        <v>1369.09</v>
      </c>
      <c r="H168" s="80"/>
      <c r="I168" s="80"/>
      <c r="J168" s="92"/>
      <c r="K168" s="104"/>
      <c r="L168" s="37">
        <v>10000</v>
      </c>
      <c r="M168" s="37"/>
      <c r="N168" s="37">
        <v>3000</v>
      </c>
      <c r="O168" s="114">
        <v>0</v>
      </c>
      <c r="P168" s="117"/>
      <c r="Q168" s="52"/>
      <c r="R168" s="4"/>
      <c r="S168" s="70"/>
    </row>
    <row r="169" spans="1:19" x14ac:dyDescent="0.25">
      <c r="A169" s="55">
        <v>6865</v>
      </c>
      <c r="B169" s="18" t="s">
        <v>164</v>
      </c>
      <c r="C169" s="16"/>
      <c r="D169" s="16"/>
      <c r="E169" s="16"/>
      <c r="F169" s="16">
        <v>3976</v>
      </c>
      <c r="G169" s="47">
        <v>0</v>
      </c>
      <c r="H169" s="80"/>
      <c r="I169" s="80"/>
      <c r="J169" s="92"/>
      <c r="K169" s="104"/>
      <c r="L169" s="37">
        <v>800</v>
      </c>
      <c r="M169" s="37"/>
      <c r="N169" s="37">
        <v>800</v>
      </c>
      <c r="O169" s="114">
        <v>800</v>
      </c>
      <c r="P169" s="117"/>
      <c r="Q169" s="17"/>
      <c r="R169" s="4"/>
      <c r="S169" s="70"/>
    </row>
    <row r="170" spans="1:19" x14ac:dyDescent="0.25">
      <c r="A170" s="55">
        <v>6740</v>
      </c>
      <c r="B170" s="14" t="s">
        <v>19</v>
      </c>
      <c r="C170" s="16">
        <v>13908.44</v>
      </c>
      <c r="D170" s="16">
        <v>18876.310000000001</v>
      </c>
      <c r="E170" s="16">
        <v>23587.71</v>
      </c>
      <c r="F170" s="16">
        <v>26861</v>
      </c>
      <c r="G170" s="47">
        <v>12602.649999999998</v>
      </c>
      <c r="H170" s="47">
        <v>18330.53</v>
      </c>
      <c r="I170" s="47">
        <v>2242.36</v>
      </c>
      <c r="J170" s="90">
        <v>18716.810000000001</v>
      </c>
      <c r="K170" s="104">
        <v>23250</v>
      </c>
      <c r="L170" s="37">
        <v>24500</v>
      </c>
      <c r="M170" s="37"/>
      <c r="N170" s="37">
        <v>20052</v>
      </c>
      <c r="O170" s="114">
        <v>22000</v>
      </c>
      <c r="P170" s="117">
        <f t="shared" ref="P170:P174" si="17">(O170-J170)/J170</f>
        <v>0.17541397278702933</v>
      </c>
      <c r="Q170" s="17"/>
      <c r="R170" s="4"/>
      <c r="S170" s="70"/>
    </row>
    <row r="171" spans="1:19" x14ac:dyDescent="0.25">
      <c r="A171" s="55">
        <v>6744</v>
      </c>
      <c r="B171" s="14" t="s">
        <v>18</v>
      </c>
      <c r="C171" s="16">
        <v>3894.84</v>
      </c>
      <c r="D171" s="16">
        <v>8578.4500000000007</v>
      </c>
      <c r="E171" s="16">
        <v>3481.35</v>
      </c>
      <c r="F171" s="16">
        <v>3166</v>
      </c>
      <c r="G171" s="47">
        <v>2253.7399999999998</v>
      </c>
      <c r="H171" s="47">
        <v>3462.53</v>
      </c>
      <c r="I171" s="47">
        <v>3649.34</v>
      </c>
      <c r="J171" s="90">
        <v>3368.9</v>
      </c>
      <c r="K171" s="104">
        <v>3300</v>
      </c>
      <c r="L171" s="37">
        <v>3300</v>
      </c>
      <c r="M171" s="37"/>
      <c r="N171" s="37">
        <v>3300</v>
      </c>
      <c r="O171" s="114">
        <v>7000</v>
      </c>
      <c r="P171" s="117">
        <f t="shared" si="17"/>
        <v>1.0778295586096351</v>
      </c>
      <c r="Q171" s="17"/>
      <c r="R171" s="4"/>
      <c r="S171" s="70"/>
    </row>
    <row r="172" spans="1:19" x14ac:dyDescent="0.25">
      <c r="A172" s="55">
        <v>6745</v>
      </c>
      <c r="B172" s="14" t="s">
        <v>135</v>
      </c>
      <c r="C172" s="16">
        <v>1485.6</v>
      </c>
      <c r="D172" s="16">
        <v>179.53</v>
      </c>
      <c r="E172" s="16"/>
      <c r="F172" s="16">
        <v>1673</v>
      </c>
      <c r="G172" s="47">
        <v>515.5</v>
      </c>
      <c r="H172" s="80"/>
      <c r="I172" s="80"/>
      <c r="J172" s="92"/>
      <c r="K172" s="104">
        <v>1500</v>
      </c>
      <c r="L172" s="37">
        <v>1800</v>
      </c>
      <c r="M172" s="37"/>
      <c r="N172" s="37">
        <v>1800</v>
      </c>
      <c r="O172" s="114">
        <v>1600</v>
      </c>
      <c r="P172" s="117"/>
      <c r="Q172" s="17"/>
      <c r="R172" s="4"/>
      <c r="S172" s="70"/>
    </row>
    <row r="173" spans="1:19" x14ac:dyDescent="0.25">
      <c r="A173" s="55">
        <v>6747</v>
      </c>
      <c r="B173" s="21" t="s">
        <v>184</v>
      </c>
      <c r="C173" s="16"/>
      <c r="D173" s="16"/>
      <c r="E173" s="16"/>
      <c r="F173" s="16"/>
      <c r="G173" s="47">
        <v>1942.6</v>
      </c>
      <c r="H173" s="47">
        <v>1068</v>
      </c>
      <c r="I173" s="47">
        <v>519.5</v>
      </c>
      <c r="J173" s="92"/>
      <c r="K173" s="104"/>
      <c r="L173" s="37">
        <v>1800</v>
      </c>
      <c r="M173" s="37"/>
      <c r="N173" s="37">
        <v>1050</v>
      </c>
      <c r="O173" s="114">
        <v>1200</v>
      </c>
      <c r="P173" s="117"/>
      <c r="Q173" s="39" t="s">
        <v>190</v>
      </c>
      <c r="R173" s="4"/>
      <c r="S173" s="70"/>
    </row>
    <row r="174" spans="1:19" x14ac:dyDescent="0.25">
      <c r="A174" s="55">
        <v>6748</v>
      </c>
      <c r="B174" s="21" t="s">
        <v>16</v>
      </c>
      <c r="C174" s="16">
        <v>4712.76</v>
      </c>
      <c r="D174" s="16">
        <v>2409.3000000000002</v>
      </c>
      <c r="E174" s="16">
        <v>112.8</v>
      </c>
      <c r="F174" s="16">
        <v>2390</v>
      </c>
      <c r="G174" s="47">
        <v>1980.7</v>
      </c>
      <c r="H174" s="47">
        <v>3169.73</v>
      </c>
      <c r="I174" s="47">
        <v>1489.8600000000001</v>
      </c>
      <c r="J174" s="90">
        <v>2043.15</v>
      </c>
      <c r="K174" s="104">
        <v>3250</v>
      </c>
      <c r="L174" s="37">
        <v>1140</v>
      </c>
      <c r="M174" s="37"/>
      <c r="N174" s="37">
        <v>2925</v>
      </c>
      <c r="O174" s="114">
        <v>2700</v>
      </c>
      <c r="P174" s="117">
        <f t="shared" si="17"/>
        <v>0.3214888774686146</v>
      </c>
      <c r="Q174" s="39" t="s">
        <v>191</v>
      </c>
      <c r="R174" s="4"/>
      <c r="S174" s="70"/>
    </row>
    <row r="175" spans="1:19" ht="15.6" x14ac:dyDescent="0.3">
      <c r="A175" s="55"/>
      <c r="B175" s="15" t="s">
        <v>136</v>
      </c>
      <c r="C175" s="19">
        <v>24001.64</v>
      </c>
      <c r="D175" s="19">
        <v>30043.59</v>
      </c>
      <c r="E175" s="19">
        <v>27181.859999999997</v>
      </c>
      <c r="F175" s="19">
        <v>38172</v>
      </c>
      <c r="G175" s="19">
        <v>20664.279999999995</v>
      </c>
      <c r="H175" s="19">
        <v>26030.789999999997</v>
      </c>
      <c r="I175" s="19">
        <v>7901.0600000000013</v>
      </c>
      <c r="J175" s="91">
        <v>24128.860000000004</v>
      </c>
      <c r="K175" s="106">
        <v>31300</v>
      </c>
      <c r="L175" s="19">
        <v>43340</v>
      </c>
      <c r="M175" s="19"/>
      <c r="N175" s="19">
        <v>32927</v>
      </c>
      <c r="O175" s="83">
        <v>35300</v>
      </c>
      <c r="Q175" s="20"/>
      <c r="R175" s="4"/>
      <c r="S175" s="70"/>
    </row>
    <row r="176" spans="1:19" x14ac:dyDescent="0.25">
      <c r="A176" s="55"/>
      <c r="B176" s="14"/>
      <c r="C176" s="16"/>
      <c r="D176" s="16"/>
      <c r="E176" s="16"/>
      <c r="F176" s="16"/>
      <c r="G176" s="16"/>
      <c r="H176" s="16"/>
      <c r="I176" s="16"/>
      <c r="J176" s="89"/>
      <c r="K176" s="104"/>
      <c r="L176" s="37"/>
      <c r="M176" s="37"/>
      <c r="N176" s="37"/>
      <c r="O176" s="82"/>
      <c r="Q176" s="17"/>
      <c r="R176" s="4"/>
      <c r="S176" s="70"/>
    </row>
    <row r="177" spans="1:19" ht="15.6" x14ac:dyDescent="0.3">
      <c r="A177" s="55"/>
      <c r="B177" s="15" t="s">
        <v>137</v>
      </c>
      <c r="C177" s="16"/>
      <c r="D177" s="16"/>
      <c r="E177" s="16"/>
      <c r="F177" s="51">
        <v>0.39776019612213059</v>
      </c>
      <c r="G177" s="51">
        <v>0.60597596098698236</v>
      </c>
      <c r="H177" s="51"/>
      <c r="I177" s="51"/>
      <c r="J177" s="96"/>
      <c r="K177" s="104"/>
      <c r="L177" s="37"/>
      <c r="M177" s="37"/>
      <c r="N177" s="37"/>
      <c r="O177" s="87"/>
      <c r="Q177" s="23" t="s">
        <v>189</v>
      </c>
      <c r="R177" s="4"/>
      <c r="S177" s="70"/>
    </row>
    <row r="178" spans="1:19" x14ac:dyDescent="0.25">
      <c r="A178" s="55">
        <v>6751</v>
      </c>
      <c r="B178" s="14" t="s">
        <v>138</v>
      </c>
      <c r="C178" s="16">
        <v>1238.72</v>
      </c>
      <c r="D178" s="16">
        <v>38.090000000000003</v>
      </c>
      <c r="E178" s="16">
        <v>1202</v>
      </c>
      <c r="F178" s="16">
        <v>1193</v>
      </c>
      <c r="G178" s="47">
        <v>437</v>
      </c>
      <c r="H178" s="47">
        <v>1326.27</v>
      </c>
      <c r="I178" s="80"/>
      <c r="J178" s="90">
        <v>223.31</v>
      </c>
      <c r="K178" s="104">
        <v>1100</v>
      </c>
      <c r="L178" s="37">
        <v>574</v>
      </c>
      <c r="M178" s="37"/>
      <c r="N178" s="37">
        <v>536</v>
      </c>
      <c r="O178" s="118">
        <v>1005.0000000000001</v>
      </c>
      <c r="P178" s="117">
        <f t="shared" ref="P178:P181" si="18">(O178-J178)/J178</f>
        <v>3.5004701983789355</v>
      </c>
      <c r="Q178" s="50">
        <v>0.67</v>
      </c>
      <c r="R178" s="4"/>
      <c r="S178" s="70"/>
    </row>
    <row r="179" spans="1:19" x14ac:dyDescent="0.25">
      <c r="A179" s="55">
        <v>6756</v>
      </c>
      <c r="B179" s="14" t="s">
        <v>139</v>
      </c>
      <c r="C179" s="16">
        <v>2183.04</v>
      </c>
      <c r="D179" s="16">
        <v>6665.14</v>
      </c>
      <c r="E179" s="16">
        <v>4843.33</v>
      </c>
      <c r="F179" s="16">
        <v>5502</v>
      </c>
      <c r="G179" s="47">
        <v>5605.8899999999994</v>
      </c>
      <c r="H179" s="47">
        <v>4444.43</v>
      </c>
      <c r="I179" s="47">
        <v>168</v>
      </c>
      <c r="J179" s="90">
        <v>2386.12</v>
      </c>
      <c r="K179" s="104">
        <v>8500</v>
      </c>
      <c r="L179" s="37">
        <v>6200</v>
      </c>
      <c r="M179" s="37"/>
      <c r="N179" s="37">
        <v>5025</v>
      </c>
      <c r="O179" s="118">
        <v>9383.2876899999992</v>
      </c>
      <c r="P179" s="117">
        <f t="shared" si="18"/>
        <v>2.9324458493286172</v>
      </c>
      <c r="Q179" s="50">
        <v>0.67</v>
      </c>
      <c r="R179" s="4"/>
      <c r="S179" s="70"/>
    </row>
    <row r="180" spans="1:19" x14ac:dyDescent="0.25">
      <c r="A180" s="55">
        <v>6757</v>
      </c>
      <c r="B180" s="21" t="s">
        <v>174</v>
      </c>
      <c r="C180" s="16">
        <v>913.26</v>
      </c>
      <c r="D180" s="16">
        <v>3463</v>
      </c>
      <c r="E180" s="16">
        <v>8485</v>
      </c>
      <c r="F180" s="16">
        <v>7139</v>
      </c>
      <c r="G180" s="47">
        <v>9773.1500000000033</v>
      </c>
      <c r="H180" s="47">
        <v>7544.3000000000011</v>
      </c>
      <c r="I180" s="47">
        <v>579.58999999999992</v>
      </c>
      <c r="J180" s="90">
        <v>1218.26</v>
      </c>
      <c r="K180" s="104"/>
      <c r="L180" s="37">
        <v>8000</v>
      </c>
      <c r="M180" s="37"/>
      <c r="N180" s="37">
        <v>9045</v>
      </c>
      <c r="O180" s="118">
        <v>5025</v>
      </c>
      <c r="P180" s="117">
        <f t="shared" si="18"/>
        <v>3.1247352781836386</v>
      </c>
      <c r="Q180" s="50">
        <v>0.67</v>
      </c>
      <c r="R180" s="4"/>
      <c r="S180" s="70"/>
    </row>
    <row r="181" spans="1:19" x14ac:dyDescent="0.25">
      <c r="A181" s="55">
        <v>6758</v>
      </c>
      <c r="B181" s="14" t="s">
        <v>140</v>
      </c>
      <c r="C181" s="16">
        <v>316.44</v>
      </c>
      <c r="D181" s="16">
        <v>150.80000000000001</v>
      </c>
      <c r="E181" s="16">
        <v>23.2</v>
      </c>
      <c r="F181" s="16">
        <v>1092</v>
      </c>
      <c r="G181" s="47">
        <v>1084.8599999999999</v>
      </c>
      <c r="H181" s="80"/>
      <c r="I181" s="47">
        <v>1785.3600000000001</v>
      </c>
      <c r="J181" s="90">
        <v>251.69</v>
      </c>
      <c r="K181" s="104">
        <v>600</v>
      </c>
      <c r="L181" s="37">
        <v>400</v>
      </c>
      <c r="M181" s="37"/>
      <c r="N181" s="37">
        <v>490</v>
      </c>
      <c r="O181" s="82">
        <v>400</v>
      </c>
      <c r="P181" s="117">
        <f t="shared" si="18"/>
        <v>0.58925662521355637</v>
      </c>
      <c r="Q181" s="17"/>
      <c r="R181" s="4"/>
      <c r="S181" s="70"/>
    </row>
    <row r="182" spans="1:19" ht="15.6" x14ac:dyDescent="0.3">
      <c r="A182" s="55"/>
      <c r="B182" s="15" t="s">
        <v>141</v>
      </c>
      <c r="C182" s="19">
        <v>4651.46</v>
      </c>
      <c r="D182" s="19">
        <v>10317.029999999999</v>
      </c>
      <c r="E182" s="19">
        <v>14553.53</v>
      </c>
      <c r="F182" s="19">
        <v>14926</v>
      </c>
      <c r="G182" s="19">
        <v>16900.900000000001</v>
      </c>
      <c r="H182" s="19">
        <v>13315.000000000002</v>
      </c>
      <c r="I182" s="19">
        <v>2532.9499999999998</v>
      </c>
      <c r="J182" s="91">
        <v>4079.3799999999997</v>
      </c>
      <c r="K182" s="105">
        <v>10200</v>
      </c>
      <c r="L182" s="19">
        <v>15174</v>
      </c>
      <c r="M182" s="19"/>
      <c r="N182" s="19">
        <v>15096</v>
      </c>
      <c r="O182" s="83">
        <v>15813.287689999999</v>
      </c>
      <c r="Q182" s="20"/>
      <c r="R182" s="4"/>
      <c r="S182" s="70"/>
    </row>
    <row r="183" spans="1:19" x14ac:dyDescent="0.25">
      <c r="A183" s="55"/>
      <c r="B183" s="14"/>
      <c r="C183" s="16"/>
      <c r="D183" s="16"/>
      <c r="E183" s="16"/>
      <c r="F183" s="16"/>
      <c r="G183" s="16"/>
      <c r="H183" s="16"/>
      <c r="I183" s="16"/>
      <c r="J183" s="89"/>
      <c r="K183" s="104"/>
      <c r="L183" s="37"/>
      <c r="M183" s="37"/>
      <c r="N183" s="37"/>
      <c r="O183" s="82"/>
      <c r="Q183" s="17"/>
      <c r="R183" s="4"/>
      <c r="S183" s="70"/>
    </row>
    <row r="184" spans="1:19" ht="15.6" x14ac:dyDescent="0.3">
      <c r="A184" s="55"/>
      <c r="B184" s="15" t="s">
        <v>142</v>
      </c>
      <c r="C184" s="16"/>
      <c r="D184" s="16"/>
      <c r="E184" s="16"/>
      <c r="F184" s="16"/>
      <c r="G184" s="16"/>
      <c r="H184" s="16"/>
      <c r="I184" s="16"/>
      <c r="J184" s="89"/>
      <c r="K184" s="104"/>
      <c r="L184" s="37"/>
      <c r="M184" s="37"/>
      <c r="N184" s="37"/>
      <c r="O184" s="82"/>
      <c r="Q184" s="17"/>
      <c r="R184" s="4"/>
      <c r="S184" s="70"/>
    </row>
    <row r="185" spans="1:19" x14ac:dyDescent="0.25">
      <c r="A185" s="55">
        <v>6810</v>
      </c>
      <c r="B185" s="14" t="s">
        <v>143</v>
      </c>
      <c r="C185" s="16">
        <v>1459.95</v>
      </c>
      <c r="D185" s="16">
        <v>1401.84</v>
      </c>
      <c r="E185" s="16">
        <v>1453.71</v>
      </c>
      <c r="F185" s="16">
        <v>2696</v>
      </c>
      <c r="G185" s="47">
        <v>860.53</v>
      </c>
      <c r="H185" s="47">
        <v>813.38999999999987</v>
      </c>
      <c r="I185" s="47">
        <v>898.61000000000013</v>
      </c>
      <c r="J185" s="90">
        <v>1840.65</v>
      </c>
      <c r="K185" s="104">
        <v>1600</v>
      </c>
      <c r="L185" s="37">
        <v>2000</v>
      </c>
      <c r="M185" s="37"/>
      <c r="N185" s="37">
        <v>1600</v>
      </c>
      <c r="O185" s="80">
        <v>1840.65</v>
      </c>
      <c r="P185" s="117">
        <f t="shared" ref="P185:P193" si="19">(O185-J185)/J185</f>
        <v>0</v>
      </c>
      <c r="Q185" s="17"/>
      <c r="R185" s="4"/>
      <c r="S185" s="70"/>
    </row>
    <row r="186" spans="1:19" x14ac:dyDescent="0.25">
      <c r="A186" s="55">
        <v>6815</v>
      </c>
      <c r="B186" s="14" t="s">
        <v>144</v>
      </c>
      <c r="C186" s="16">
        <v>5775.76</v>
      </c>
      <c r="D186" s="16">
        <v>200</v>
      </c>
      <c r="E186" s="16">
        <v>200</v>
      </c>
      <c r="F186" s="16">
        <v>50</v>
      </c>
      <c r="G186" s="47"/>
      <c r="H186" s="47">
        <v>100</v>
      </c>
      <c r="I186" s="47">
        <v>100</v>
      </c>
      <c r="J186" s="92"/>
      <c r="K186" s="104">
        <v>500</v>
      </c>
      <c r="L186" s="37">
        <v>500</v>
      </c>
      <c r="M186" s="37"/>
      <c r="N186" s="37">
        <v>500</v>
      </c>
      <c r="O186" s="82"/>
      <c r="P186" s="117"/>
      <c r="Q186" s="17"/>
      <c r="R186" s="4"/>
      <c r="S186" s="70"/>
    </row>
    <row r="187" spans="1:19" x14ac:dyDescent="0.25">
      <c r="A187" s="55">
        <v>6850</v>
      </c>
      <c r="B187" s="14" t="s">
        <v>145</v>
      </c>
      <c r="C187" s="16">
        <v>1123.1099999999999</v>
      </c>
      <c r="D187" s="16">
        <v>647.45000000000005</v>
      </c>
      <c r="E187" s="16">
        <v>627.24</v>
      </c>
      <c r="F187" s="16">
        <v>490</v>
      </c>
      <c r="G187" s="47">
        <v>550.65</v>
      </c>
      <c r="H187" s="47">
        <v>421.27</v>
      </c>
      <c r="I187" s="47">
        <v>404.18000000000006</v>
      </c>
      <c r="J187" s="90">
        <v>220.11</v>
      </c>
      <c r="K187" s="104">
        <v>600</v>
      </c>
      <c r="L187" s="37">
        <v>500</v>
      </c>
      <c r="M187" s="37"/>
      <c r="N187" s="37">
        <v>500</v>
      </c>
      <c r="O187" s="80">
        <v>220.11</v>
      </c>
      <c r="P187" s="117">
        <f t="shared" si="19"/>
        <v>0</v>
      </c>
      <c r="Q187" s="17"/>
      <c r="R187" s="4"/>
      <c r="S187" s="70"/>
    </row>
    <row r="188" spans="1:19" x14ac:dyDescent="0.25">
      <c r="A188" s="55">
        <v>6853</v>
      </c>
      <c r="B188" s="14" t="s">
        <v>146</v>
      </c>
      <c r="C188" s="16">
        <v>3920</v>
      </c>
      <c r="D188" s="16">
        <v>3600</v>
      </c>
      <c r="E188" s="16">
        <v>3180</v>
      </c>
      <c r="F188" s="16">
        <v>2930</v>
      </c>
      <c r="G188" s="47">
        <v>3650</v>
      </c>
      <c r="H188" s="47">
        <v>2160</v>
      </c>
      <c r="I188" s="47">
        <v>3155</v>
      </c>
      <c r="J188" s="90">
        <v>2166.6899999999996</v>
      </c>
      <c r="K188" s="104">
        <v>3500</v>
      </c>
      <c r="L188" s="37">
        <v>3000</v>
      </c>
      <c r="M188" s="37"/>
      <c r="N188" s="37">
        <v>3400</v>
      </c>
      <c r="O188" s="82">
        <v>4500</v>
      </c>
      <c r="P188" s="117">
        <f t="shared" si="19"/>
        <v>1.0769007103000432</v>
      </c>
      <c r="Q188" s="23" t="s">
        <v>416</v>
      </c>
      <c r="R188" s="4"/>
      <c r="S188" s="70"/>
    </row>
    <row r="189" spans="1:19" x14ac:dyDescent="0.25">
      <c r="A189" s="55">
        <v>6855</v>
      </c>
      <c r="B189" s="14" t="s">
        <v>147</v>
      </c>
      <c r="C189" s="16">
        <v>3600</v>
      </c>
      <c r="D189" s="16">
        <v>4215</v>
      </c>
      <c r="E189" s="16">
        <v>1000</v>
      </c>
      <c r="F189" s="16">
        <v>1563</v>
      </c>
      <c r="G189" s="47">
        <v>625</v>
      </c>
      <c r="H189" s="47">
        <v>825</v>
      </c>
      <c r="I189" s="47">
        <v>560</v>
      </c>
      <c r="J189" s="90">
        <v>836</v>
      </c>
      <c r="K189" s="104">
        <v>1200</v>
      </c>
      <c r="L189" s="37">
        <v>1200</v>
      </c>
      <c r="M189" s="37"/>
      <c r="N189" s="37">
        <v>1200</v>
      </c>
      <c r="O189" s="80">
        <v>836</v>
      </c>
      <c r="P189" s="117">
        <f t="shared" si="19"/>
        <v>0</v>
      </c>
      <c r="Q189" s="17"/>
      <c r="R189" s="4"/>
      <c r="S189" s="70"/>
    </row>
    <row r="190" spans="1:19" x14ac:dyDescent="0.25">
      <c r="A190" s="129">
        <v>6875</v>
      </c>
      <c r="B190" s="129" t="s">
        <v>169</v>
      </c>
      <c r="C190" s="16"/>
      <c r="D190" s="16"/>
      <c r="E190" s="16"/>
      <c r="F190" s="16"/>
      <c r="G190" s="47">
        <v>24283.8</v>
      </c>
      <c r="H190" s="47">
        <v>17016.32</v>
      </c>
      <c r="I190" s="47">
        <v>8437.869999999999</v>
      </c>
      <c r="J190" s="90">
        <v>8944.630000000001</v>
      </c>
      <c r="K190" s="104"/>
      <c r="L190" s="37">
        <v>5000</v>
      </c>
      <c r="M190" s="37"/>
      <c r="N190" s="37">
        <v>14000</v>
      </c>
      <c r="O190" s="114">
        <v>2400</v>
      </c>
      <c r="P190" s="117">
        <f t="shared" si="19"/>
        <v>-0.7316825849699764</v>
      </c>
      <c r="Q190" s="17"/>
      <c r="R190" s="4"/>
      <c r="S190" s="70"/>
    </row>
    <row r="191" spans="1:19" x14ac:dyDescent="0.25">
      <c r="A191" s="129">
        <v>6875</v>
      </c>
      <c r="B191" s="129" t="s">
        <v>176</v>
      </c>
      <c r="C191" s="16"/>
      <c r="D191" s="16"/>
      <c r="E191" s="16"/>
      <c r="F191" s="16"/>
      <c r="G191" s="47">
        <v>4645</v>
      </c>
      <c r="H191" s="47">
        <v>17016.32</v>
      </c>
      <c r="I191" s="47">
        <v>8437.869999999999</v>
      </c>
      <c r="J191" s="90">
        <v>8944.630000000001</v>
      </c>
      <c r="K191" s="104"/>
      <c r="L191" s="37">
        <v>4500</v>
      </c>
      <c r="M191" s="37"/>
      <c r="N191" s="37">
        <v>100</v>
      </c>
      <c r="O191" s="114">
        <v>5200</v>
      </c>
      <c r="P191" s="117">
        <f t="shared" si="19"/>
        <v>-0.41864560076828228</v>
      </c>
      <c r="Q191" s="17"/>
      <c r="R191" s="4"/>
      <c r="S191" s="70"/>
    </row>
    <row r="192" spans="1:19" x14ac:dyDescent="0.25">
      <c r="A192" s="55">
        <v>6870</v>
      </c>
      <c r="B192" s="21" t="s">
        <v>148</v>
      </c>
      <c r="C192" s="16">
        <v>1468.95</v>
      </c>
      <c r="D192" s="16">
        <v>1213.6300000000001</v>
      </c>
      <c r="E192" s="16">
        <v>1163.05</v>
      </c>
      <c r="F192" s="16">
        <v>67</v>
      </c>
      <c r="G192" s="47">
        <v>1411.2</v>
      </c>
      <c r="H192" s="47">
        <v>822.5</v>
      </c>
      <c r="I192" s="47">
        <v>1661</v>
      </c>
      <c r="J192" s="90">
        <v>1686.4399999999996</v>
      </c>
      <c r="K192" s="104">
        <v>1313</v>
      </c>
      <c r="L192" s="37">
        <v>1588</v>
      </c>
      <c r="M192" s="37"/>
      <c r="N192" s="37">
        <v>1330</v>
      </c>
      <c r="O192" s="80">
        <v>1333.4152625821282</v>
      </c>
      <c r="P192" s="117">
        <f t="shared" si="19"/>
        <v>-0.20933133548651092</v>
      </c>
      <c r="Q192" s="39" t="s">
        <v>186</v>
      </c>
      <c r="R192" s="4"/>
      <c r="S192" s="70"/>
    </row>
    <row r="193" spans="1:19" x14ac:dyDescent="0.25">
      <c r="A193" s="55">
        <v>6880</v>
      </c>
      <c r="B193" s="21" t="s">
        <v>142</v>
      </c>
      <c r="C193" s="16"/>
      <c r="D193" s="16"/>
      <c r="E193" s="16"/>
      <c r="F193" s="16"/>
      <c r="G193" s="47">
        <v>264.25</v>
      </c>
      <c r="H193" s="80"/>
      <c r="I193" s="80"/>
      <c r="J193" s="90">
        <v>335.93</v>
      </c>
      <c r="K193" s="104"/>
      <c r="L193" s="37">
        <v>0</v>
      </c>
      <c r="M193" s="37"/>
      <c r="N193" s="37"/>
      <c r="O193" s="80">
        <v>335.93</v>
      </c>
      <c r="P193" s="117">
        <f t="shared" si="19"/>
        <v>0</v>
      </c>
      <c r="Q193" s="17"/>
      <c r="R193" s="4"/>
      <c r="S193" s="70"/>
    </row>
    <row r="194" spans="1:19" ht="15.6" x14ac:dyDescent="0.3">
      <c r="A194" s="55"/>
      <c r="B194" s="15" t="s">
        <v>40</v>
      </c>
      <c r="C194" s="19">
        <v>17347.77</v>
      </c>
      <c r="D194" s="19">
        <v>11277.920000000002</v>
      </c>
      <c r="E194" s="19">
        <v>7624</v>
      </c>
      <c r="F194" s="19">
        <v>7796</v>
      </c>
      <c r="G194" s="49">
        <v>36290.429999999993</v>
      </c>
      <c r="H194" s="49">
        <v>39174.800000000003</v>
      </c>
      <c r="I194" s="49">
        <v>23654.53</v>
      </c>
      <c r="J194" s="97">
        <v>24975.08</v>
      </c>
      <c r="K194" s="105">
        <v>8713</v>
      </c>
      <c r="L194" s="19">
        <v>18288</v>
      </c>
      <c r="M194" s="19"/>
      <c r="N194" s="19">
        <v>22630</v>
      </c>
      <c r="O194" s="83">
        <v>16666.105262582128</v>
      </c>
      <c r="Q194" s="20"/>
      <c r="R194" s="4"/>
      <c r="S194" s="70"/>
    </row>
    <row r="195" spans="1:19" ht="15.6" x14ac:dyDescent="0.3">
      <c r="A195" s="55"/>
      <c r="B195" s="15"/>
      <c r="C195" s="19"/>
      <c r="D195" s="19"/>
      <c r="E195" s="19"/>
      <c r="F195" s="19"/>
      <c r="G195" s="19"/>
      <c r="H195" s="47"/>
      <c r="I195" s="47"/>
      <c r="J195" s="90"/>
      <c r="K195" s="105"/>
      <c r="L195" s="37"/>
      <c r="M195" s="37"/>
      <c r="N195" s="37"/>
      <c r="O195" s="82"/>
      <c r="Q195" s="20"/>
      <c r="R195" s="4"/>
      <c r="S195" s="70"/>
    </row>
    <row r="196" spans="1:19" ht="15.6" x14ac:dyDescent="0.3">
      <c r="A196" s="55"/>
      <c r="B196" s="15" t="s">
        <v>149</v>
      </c>
      <c r="C196" s="16"/>
      <c r="D196" s="16"/>
      <c r="E196" s="16"/>
      <c r="F196" s="16"/>
      <c r="G196" s="16"/>
      <c r="H196" s="47"/>
      <c r="I196" s="47"/>
      <c r="J196" s="90"/>
      <c r="K196" s="104"/>
      <c r="L196" s="37"/>
      <c r="M196" s="37"/>
      <c r="N196" s="37"/>
      <c r="O196" s="82"/>
      <c r="Q196" s="37" t="s">
        <v>188</v>
      </c>
      <c r="R196" s="4"/>
      <c r="S196" s="70"/>
    </row>
    <row r="197" spans="1:19" x14ac:dyDescent="0.25">
      <c r="A197" s="55">
        <v>6910</v>
      </c>
      <c r="B197" s="14" t="s">
        <v>161</v>
      </c>
      <c r="C197" s="16">
        <v>64874.94</v>
      </c>
      <c r="D197" s="16">
        <v>66418.320000000007</v>
      </c>
      <c r="E197" s="16">
        <v>69261.52</v>
      </c>
      <c r="F197" s="16">
        <v>70704</v>
      </c>
      <c r="G197" s="47">
        <v>72846.24000000002</v>
      </c>
      <c r="H197" s="47">
        <v>61212</v>
      </c>
      <c r="I197" s="47">
        <v>60600.100000000013</v>
      </c>
      <c r="J197" s="90">
        <v>61206</v>
      </c>
      <c r="K197" s="109">
        <v>60012</v>
      </c>
      <c r="L197" s="37">
        <v>61212.24</v>
      </c>
      <c r="M197" s="37"/>
      <c r="N197" s="82"/>
      <c r="O197" s="114">
        <v>62430.12</v>
      </c>
      <c r="P197" s="117">
        <f t="shared" ref="P197:P200" si="20">(O197-J197)/J197</f>
        <v>2.0000000000000042E-2</v>
      </c>
      <c r="Q197" s="133" t="s">
        <v>423</v>
      </c>
      <c r="R197" s="4"/>
      <c r="S197" s="70"/>
    </row>
    <row r="198" spans="1:19" x14ac:dyDescent="0.25">
      <c r="A198" s="55">
        <v>6667</v>
      </c>
      <c r="B198" s="14" t="s">
        <v>160</v>
      </c>
      <c r="C198" s="16"/>
      <c r="D198" s="16"/>
      <c r="E198" s="16"/>
      <c r="F198" s="16"/>
      <c r="G198" s="47"/>
      <c r="H198" s="47">
        <v>27425.039999999994</v>
      </c>
      <c r="I198" s="47">
        <v>21996</v>
      </c>
      <c r="J198" s="90">
        <v>35701.94</v>
      </c>
      <c r="K198" s="109">
        <v>12834</v>
      </c>
      <c r="L198" s="37">
        <v>15424.800000000001</v>
      </c>
      <c r="M198" s="37"/>
      <c r="N198" s="37">
        <v>38500</v>
      </c>
      <c r="O198" s="128">
        <v>37561.742999999995</v>
      </c>
      <c r="P198" s="117">
        <f t="shared" si="20"/>
        <v>5.2092491332403575E-2</v>
      </c>
      <c r="Q198" s="132" t="s">
        <v>458</v>
      </c>
      <c r="R198" s="4"/>
      <c r="S198" s="70"/>
    </row>
    <row r="199" spans="1:19" x14ac:dyDescent="0.25">
      <c r="A199" s="55">
        <v>6960</v>
      </c>
      <c r="B199" s="21" t="s">
        <v>150</v>
      </c>
      <c r="C199" s="16">
        <v>-14958.07</v>
      </c>
      <c r="D199" s="16">
        <v>-53023</v>
      </c>
      <c r="E199" s="16"/>
      <c r="F199" s="16">
        <v>-62656</v>
      </c>
      <c r="G199" s="47">
        <v>-174800</v>
      </c>
      <c r="H199" s="47">
        <v>0</v>
      </c>
      <c r="I199" s="47">
        <v>0</v>
      </c>
      <c r="J199" s="92"/>
      <c r="K199" s="104">
        <v>-26000</v>
      </c>
      <c r="L199" s="37">
        <v>-15000</v>
      </c>
      <c r="M199" s="37"/>
      <c r="N199" s="37">
        <v>-25000</v>
      </c>
      <c r="O199" s="82">
        <v>-17500</v>
      </c>
      <c r="P199" s="117"/>
      <c r="Q199" s="132" t="s">
        <v>460</v>
      </c>
      <c r="R199" s="4"/>
      <c r="S199" s="70"/>
    </row>
    <row r="200" spans="1:19" x14ac:dyDescent="0.25">
      <c r="A200" s="55">
        <v>6995</v>
      </c>
      <c r="B200" s="14" t="s">
        <v>151</v>
      </c>
      <c r="C200" s="16">
        <v>39122.019999999997</v>
      </c>
      <c r="D200" s="16">
        <v>36866.43</v>
      </c>
      <c r="E200" s="16">
        <v>37892.46</v>
      </c>
      <c r="F200" s="16">
        <v>36887</v>
      </c>
      <c r="G200" s="47">
        <v>39663.100000000013</v>
      </c>
      <c r="H200" s="47">
        <v>43702.8</v>
      </c>
      <c r="I200" s="47">
        <v>36036.939999999995</v>
      </c>
      <c r="J200" s="90">
        <v>35939.29</v>
      </c>
      <c r="K200" s="104">
        <v>37350</v>
      </c>
      <c r="L200" s="37">
        <v>39900</v>
      </c>
      <c r="M200" s="37"/>
      <c r="N200" s="37">
        <v>37000</v>
      </c>
      <c r="O200" s="82">
        <v>37561.742999999995</v>
      </c>
      <c r="P200" s="117">
        <f t="shared" si="20"/>
        <v>4.5144269683680287E-2</v>
      </c>
      <c r="Q200" s="134" t="s">
        <v>459</v>
      </c>
      <c r="R200" s="4"/>
      <c r="S200" s="70"/>
    </row>
    <row r="201" spans="1:19" x14ac:dyDescent="0.25">
      <c r="A201" s="55">
        <v>6996</v>
      </c>
      <c r="B201" s="14" t="s">
        <v>152</v>
      </c>
      <c r="C201" s="16"/>
      <c r="D201" s="16"/>
      <c r="E201" s="16"/>
      <c r="F201" s="16"/>
      <c r="G201" s="47"/>
      <c r="H201" s="80"/>
      <c r="I201" s="80"/>
      <c r="J201" s="92"/>
      <c r="K201" s="104"/>
      <c r="L201" s="37">
        <v>0</v>
      </c>
      <c r="M201" s="37"/>
      <c r="N201" s="37"/>
      <c r="O201" s="82"/>
      <c r="P201" s="117"/>
      <c r="Q201" s="17"/>
      <c r="R201" s="4"/>
    </row>
    <row r="202" spans="1:19" x14ac:dyDescent="0.25">
      <c r="A202" s="55">
        <v>6999</v>
      </c>
      <c r="B202" s="14" t="s">
        <v>153</v>
      </c>
      <c r="C202" s="16">
        <v>364.5</v>
      </c>
      <c r="D202" s="16">
        <v>1394</v>
      </c>
      <c r="E202" s="16">
        <v>11292</v>
      </c>
      <c r="F202" s="16">
        <v>8445</v>
      </c>
      <c r="G202" s="47">
        <v>10438</v>
      </c>
      <c r="H202" s="47">
        <v>8758</v>
      </c>
      <c r="I202" s="47">
        <v>8163</v>
      </c>
      <c r="J202" s="92"/>
      <c r="K202" s="104">
        <v>11300</v>
      </c>
      <c r="L202" s="37">
        <v>11300</v>
      </c>
      <c r="M202" s="37"/>
      <c r="N202" s="37">
        <v>11300</v>
      </c>
      <c r="O202" s="82">
        <v>8500</v>
      </c>
      <c r="P202" s="117"/>
      <c r="Q202" s="132" t="s">
        <v>457</v>
      </c>
      <c r="R202" s="4"/>
    </row>
    <row r="203" spans="1:19" ht="15.6" x14ac:dyDescent="0.3">
      <c r="A203" s="55"/>
      <c r="B203" s="15" t="s">
        <v>154</v>
      </c>
      <c r="C203" s="19">
        <v>89403.39</v>
      </c>
      <c r="D203" s="19">
        <v>51655.750000000007</v>
      </c>
      <c r="E203" s="19">
        <v>118445.98000000001</v>
      </c>
      <c r="F203" s="19">
        <v>53380</v>
      </c>
      <c r="G203" s="19">
        <v>-51852.659999999967</v>
      </c>
      <c r="H203" s="19">
        <v>141097.84</v>
      </c>
      <c r="I203" s="19">
        <v>126796.04000000001</v>
      </c>
      <c r="J203" s="91">
        <v>132847.23000000001</v>
      </c>
      <c r="K203" s="105">
        <v>95496</v>
      </c>
      <c r="L203" s="19">
        <v>112837.04</v>
      </c>
      <c r="M203" s="19"/>
      <c r="N203" s="19">
        <v>61800</v>
      </c>
      <c r="O203" s="83">
        <v>128553.606</v>
      </c>
      <c r="Q203" s="20"/>
      <c r="R203" s="4"/>
    </row>
    <row r="204" spans="1:19" ht="15.6" x14ac:dyDescent="0.3">
      <c r="A204" s="55"/>
      <c r="B204" s="14"/>
      <c r="C204" s="16"/>
      <c r="D204" s="16"/>
      <c r="E204" s="16"/>
      <c r="F204" s="16"/>
      <c r="G204" s="16"/>
      <c r="H204" s="19"/>
      <c r="I204" s="19"/>
      <c r="J204" s="91"/>
      <c r="K204" s="104"/>
      <c r="L204" s="38">
        <v>0</v>
      </c>
      <c r="M204" s="38"/>
      <c r="N204" s="38"/>
      <c r="O204" s="83"/>
      <c r="Q204" s="17"/>
      <c r="R204" s="4"/>
    </row>
    <row r="205" spans="1:19" ht="15.6" x14ac:dyDescent="0.3">
      <c r="A205" s="55"/>
      <c r="B205" s="32" t="s">
        <v>155</v>
      </c>
      <c r="C205" s="19">
        <v>1220483.1499999997</v>
      </c>
      <c r="D205" s="19">
        <v>1134975</v>
      </c>
      <c r="E205" s="19">
        <v>1221821.7400000002</v>
      </c>
      <c r="F205" s="19">
        <v>1200207</v>
      </c>
      <c r="G205" s="19">
        <v>1145486.6999999997</v>
      </c>
      <c r="H205" s="19">
        <v>1302496.6100000003</v>
      </c>
      <c r="I205" s="19">
        <v>1044152.3700000001</v>
      </c>
      <c r="J205" s="91">
        <v>1275839.22</v>
      </c>
      <c r="K205" s="106">
        <v>1262482</v>
      </c>
      <c r="L205" s="19">
        <v>1370577.721834477</v>
      </c>
      <c r="M205" s="19"/>
      <c r="N205" s="19">
        <v>1266126.2150933635</v>
      </c>
      <c r="O205" s="83">
        <v>1409998.0778184948</v>
      </c>
      <c r="P205" s="117">
        <f t="shared" ref="P205" si="21">(O205-J205)/J205</f>
        <v>0.10515342036475002</v>
      </c>
      <c r="Q205" s="26"/>
      <c r="R205" s="4"/>
    </row>
    <row r="206" spans="1:19" ht="15.6" x14ac:dyDescent="0.3">
      <c r="A206" s="55"/>
      <c r="B206" s="21"/>
      <c r="C206" s="33"/>
      <c r="D206" s="33"/>
      <c r="E206" s="33"/>
      <c r="F206" s="33"/>
      <c r="G206" s="33"/>
      <c r="H206" s="19"/>
      <c r="I206" s="19"/>
      <c r="J206" s="91"/>
      <c r="K206" s="110"/>
      <c r="L206" s="38">
        <v>0</v>
      </c>
      <c r="M206" s="38"/>
      <c r="N206" s="38"/>
      <c r="O206" s="83"/>
      <c r="Q206" s="17"/>
      <c r="R206" s="4"/>
    </row>
    <row r="207" spans="1:19" ht="15.6" x14ac:dyDescent="0.3">
      <c r="A207" s="55"/>
      <c r="B207" s="32" t="s">
        <v>156</v>
      </c>
      <c r="C207" s="34">
        <v>107752.19000000018</v>
      </c>
      <c r="D207" s="34">
        <v>47480.449999999953</v>
      </c>
      <c r="E207" s="34">
        <v>39372.759999999544</v>
      </c>
      <c r="F207" s="34">
        <v>143950.84999999986</v>
      </c>
      <c r="G207" s="34">
        <v>422929.86000000034</v>
      </c>
      <c r="H207" s="34">
        <v>109925.68999999925</v>
      </c>
      <c r="I207" s="34">
        <v>423721.88000000012</v>
      </c>
      <c r="J207" s="98">
        <v>84557.689999999944</v>
      </c>
      <c r="K207" s="119">
        <v>-22210</v>
      </c>
      <c r="L207" s="120">
        <v>-33391.721834477037</v>
      </c>
      <c r="M207" s="120"/>
      <c r="N207" s="120">
        <v>15370.784906636458</v>
      </c>
      <c r="O207" s="121">
        <v>44640.809074596735</v>
      </c>
      <c r="Q207" s="44"/>
      <c r="R207" s="4"/>
    </row>
    <row r="208" spans="1:19" x14ac:dyDescent="0.25">
      <c r="A208" s="55">
        <v>6899</v>
      </c>
      <c r="B208" s="14" t="s">
        <v>157</v>
      </c>
      <c r="C208" s="16">
        <v>151086.57</v>
      </c>
      <c r="D208" s="16">
        <v>163862.96</v>
      </c>
      <c r="E208" s="16">
        <v>190440.37</v>
      </c>
      <c r="F208" s="16">
        <v>192124</v>
      </c>
      <c r="G208" s="35">
        <v>147158.39999999999</v>
      </c>
      <c r="H208" s="47">
        <v>122757.56</v>
      </c>
      <c r="I208" s="47">
        <v>127076.34</v>
      </c>
      <c r="J208" s="90">
        <v>123538.93000000001</v>
      </c>
      <c r="K208" s="122">
        <v>138460</v>
      </c>
      <c r="L208" s="123">
        <v>114037.92666666665</v>
      </c>
      <c r="M208" s="123"/>
      <c r="N208" s="123">
        <v>114037.92666666665</v>
      </c>
      <c r="O208" s="124">
        <v>122000</v>
      </c>
      <c r="Q208" s="131" t="s">
        <v>461</v>
      </c>
      <c r="R208" s="4"/>
    </row>
    <row r="209" spans="1:18" ht="15.6" x14ac:dyDescent="0.3">
      <c r="A209" s="29"/>
      <c r="B209" s="30" t="s">
        <v>158</v>
      </c>
      <c r="C209" s="31">
        <v>-43334.37999999983</v>
      </c>
      <c r="D209" s="31">
        <v>-116382.51000000004</v>
      </c>
      <c r="E209" s="31">
        <v>-151067.61000000045</v>
      </c>
      <c r="F209" s="31">
        <v>-48173.15000000014</v>
      </c>
      <c r="G209" s="31">
        <v>275771.46000000031</v>
      </c>
      <c r="H209" s="31">
        <v>-12831.870000000752</v>
      </c>
      <c r="I209" s="31">
        <v>296645.54000000015</v>
      </c>
      <c r="J209" s="31">
        <v>-38981.240000000063</v>
      </c>
      <c r="K209" s="111">
        <v>-160670</v>
      </c>
      <c r="L209" s="31">
        <v>-147429.64850114367</v>
      </c>
      <c r="M209" s="31"/>
      <c r="N209" s="31">
        <v>-98667.141760030194</v>
      </c>
      <c r="O209" s="126">
        <v>-77359.190925403265</v>
      </c>
      <c r="Q209" s="45"/>
      <c r="R209" s="4"/>
    </row>
    <row r="210" spans="1:18" x14ac:dyDescent="0.25">
      <c r="A210" s="4"/>
      <c r="B210" s="4"/>
      <c r="C210" s="4"/>
      <c r="D210" s="4"/>
      <c r="E210" s="4"/>
      <c r="F210" s="4"/>
      <c r="G210" s="46"/>
      <c r="H210" s="4"/>
      <c r="I210" s="4"/>
      <c r="J210" s="4"/>
      <c r="K210" s="4"/>
      <c r="L210" s="4"/>
      <c r="M210" s="4"/>
      <c r="N210" s="4"/>
      <c r="O210" s="4"/>
      <c r="Q210" s="4"/>
      <c r="R210" s="4"/>
    </row>
    <row r="211" spans="1:18" x14ac:dyDescent="0.25">
      <c r="A211" s="4"/>
      <c r="B211" s="4"/>
      <c r="C211" s="4"/>
      <c r="D211" s="4"/>
      <c r="E211" s="4"/>
      <c r="F211" s="4"/>
      <c r="G211" s="46"/>
      <c r="H211" s="4"/>
      <c r="I211" s="4"/>
      <c r="J211" s="4"/>
      <c r="K211" s="4"/>
      <c r="L211" s="4"/>
      <c r="M211" s="4"/>
      <c r="N211" s="4"/>
      <c r="O211" s="4"/>
      <c r="Q211" s="4"/>
      <c r="R211" s="4"/>
    </row>
    <row r="212" spans="1:18" x14ac:dyDescent="0.25">
      <c r="A212" s="4"/>
      <c r="B212" s="4"/>
      <c r="C212" s="4"/>
      <c r="D212" s="4"/>
      <c r="E212" s="4"/>
      <c r="F212" s="4"/>
      <c r="G212" s="46"/>
      <c r="H212" s="4"/>
      <c r="I212" s="4"/>
      <c r="J212" s="4"/>
      <c r="K212" s="4"/>
      <c r="L212" s="4"/>
      <c r="M212" s="4"/>
      <c r="N212" s="4"/>
      <c r="O212" s="4"/>
      <c r="Q212" s="4"/>
      <c r="R212" s="4"/>
    </row>
    <row r="213" spans="1:18" x14ac:dyDescent="0.25">
      <c r="A213" s="4"/>
      <c r="B213" s="4"/>
      <c r="C213" s="4"/>
      <c r="D213" s="4"/>
      <c r="E213" s="4"/>
      <c r="F213" s="4"/>
      <c r="G213" s="46"/>
      <c r="H213" s="4"/>
      <c r="I213" s="4"/>
      <c r="J213" s="4"/>
      <c r="K213" s="4"/>
      <c r="L213" s="4"/>
      <c r="M213" s="4"/>
      <c r="N213" s="4"/>
      <c r="O213" s="4"/>
      <c r="Q213" s="4"/>
      <c r="R213" s="4"/>
    </row>
  </sheetData>
  <mergeCells count="1">
    <mergeCell ref="A5:B5"/>
  </mergeCells>
  <pageMargins left="0.25" right="0.25" top="0.75" bottom="0.75" header="0.3" footer="0.3"/>
  <pageSetup scale="6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C908-9ABE-4656-B2C0-91D5ABF2530B}">
  <dimension ref="A1:O194"/>
  <sheetViews>
    <sheetView topLeftCell="A166" workbookViewId="0">
      <selection sqref="A1:A1048576"/>
    </sheetView>
  </sheetViews>
  <sheetFormatPr defaultColWidth="8.90625" defaultRowHeight="14.4" x14ac:dyDescent="0.3"/>
  <cols>
    <col min="1" max="1" width="4.81640625" style="71" customWidth="1"/>
    <col min="2" max="2" width="32.08984375" style="72" customWidth="1"/>
    <col min="3" max="3" width="8" style="72" customWidth="1"/>
    <col min="4" max="9" width="8.81640625" style="72" customWidth="1"/>
    <col min="10" max="10" width="8" style="72" customWidth="1"/>
    <col min="11" max="11" width="7.36328125" style="72" customWidth="1"/>
    <col min="12" max="14" width="6" style="72" customWidth="1"/>
    <col min="15" max="15" width="9.36328125" style="72" customWidth="1"/>
    <col min="16" max="16384" width="8.90625" style="72"/>
  </cols>
  <sheetData>
    <row r="1" spans="1:15" ht="17.399999999999999" x14ac:dyDescent="0.3">
      <c r="B1" s="136" t="s">
        <v>378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7.399999999999999" x14ac:dyDescent="0.3">
      <c r="B2" s="136" t="s">
        <v>379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x14ac:dyDescent="0.3">
      <c r="B3" s="138" t="s">
        <v>388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5" x14ac:dyDescent="0.3">
      <c r="I4" s="79" t="s">
        <v>389</v>
      </c>
      <c r="J4" s="79" t="s">
        <v>389</v>
      </c>
      <c r="K4" s="79" t="s">
        <v>389</v>
      </c>
      <c r="L4" s="79" t="s">
        <v>389</v>
      </c>
      <c r="M4" s="79" t="s">
        <v>389</v>
      </c>
      <c r="N4" s="79" t="s">
        <v>389</v>
      </c>
      <c r="O4" s="79" t="s">
        <v>389</v>
      </c>
    </row>
    <row r="5" spans="1:15" ht="24.6" x14ac:dyDescent="0.3">
      <c r="B5" s="73"/>
      <c r="C5" s="74" t="s">
        <v>390</v>
      </c>
      <c r="D5" s="74" t="s">
        <v>391</v>
      </c>
      <c r="E5" s="74" t="s">
        <v>392</v>
      </c>
      <c r="F5" s="74" t="s">
        <v>393</v>
      </c>
      <c r="G5" s="74" t="s">
        <v>394</v>
      </c>
      <c r="H5" s="74" t="s">
        <v>395</v>
      </c>
      <c r="I5" s="74" t="s">
        <v>396</v>
      </c>
      <c r="J5" s="74" t="s">
        <v>397</v>
      </c>
      <c r="K5" s="74" t="s">
        <v>398</v>
      </c>
      <c r="L5" s="74" t="s">
        <v>399</v>
      </c>
      <c r="M5" s="74" t="s">
        <v>400</v>
      </c>
      <c r="N5" s="74" t="s">
        <v>401</v>
      </c>
      <c r="O5" s="74" t="s">
        <v>185</v>
      </c>
    </row>
    <row r="6" spans="1:15" x14ac:dyDescent="0.3">
      <c r="A6" s="71" t="str">
        <f>IF(ISNUMBER(VALUE(LEFT(TRIM(B6),5))),VALUE(LEFT(TRIM(B6),4)),TRIM(B6))</f>
        <v>Revenue</v>
      </c>
      <c r="B6" s="75" t="s">
        <v>198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x14ac:dyDescent="0.3">
      <c r="A7" s="71" t="str">
        <f t="shared" ref="A7:A70" si="0">IF(ISNUMBER(VALUE(LEFT(TRIM(B7),5))),VALUE(LEFT(TRIM(B7),4)),TRIM(B7))</f>
        <v>10 Donations and Bequests</v>
      </c>
      <c r="B7" s="75" t="s">
        <v>199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>
        <f t="shared" ref="O7:O60" si="1">(((((((((((C7)+(D7))+(E7))+(F7))+(G7))+(H7))+(I7))+(J7))+(K7))+(L7))+(M7))+(N7)</f>
        <v>0</v>
      </c>
    </row>
    <row r="8" spans="1:15" x14ac:dyDescent="0.3">
      <c r="A8" s="71">
        <f t="shared" si="0"/>
        <v>4046</v>
      </c>
      <c r="B8" s="75" t="s">
        <v>200</v>
      </c>
      <c r="C8" s="77">
        <f>25</f>
        <v>25</v>
      </c>
      <c r="D8" s="77">
        <f>25</f>
        <v>25</v>
      </c>
      <c r="E8" s="77">
        <f>125</f>
        <v>125</v>
      </c>
      <c r="F8" s="77">
        <f>25</f>
        <v>25</v>
      </c>
      <c r="G8" s="77">
        <f>100</f>
        <v>100</v>
      </c>
      <c r="H8" s="77">
        <f>256840.14</f>
        <v>256840.14</v>
      </c>
      <c r="I8" s="77">
        <f>1025</f>
        <v>1025</v>
      </c>
      <c r="J8" s="77">
        <f>25</f>
        <v>25</v>
      </c>
      <c r="K8" s="77">
        <f>25</f>
        <v>25</v>
      </c>
      <c r="L8" s="76"/>
      <c r="M8" s="76"/>
      <c r="N8" s="76"/>
      <c r="O8" s="77">
        <f t="shared" si="1"/>
        <v>258215.14</v>
      </c>
    </row>
    <row r="9" spans="1:15" x14ac:dyDescent="0.3">
      <c r="A9" s="71">
        <f t="shared" si="0"/>
        <v>4310</v>
      </c>
      <c r="B9" s="75" t="s">
        <v>201</v>
      </c>
      <c r="C9" s="77">
        <f>18316.16</f>
        <v>18316.16</v>
      </c>
      <c r="D9" s="77">
        <f>10803.28</f>
        <v>10803.28</v>
      </c>
      <c r="E9" s="77">
        <f>22854.86</f>
        <v>22854.86</v>
      </c>
      <c r="F9" s="77">
        <f>16672.57</f>
        <v>16672.57</v>
      </c>
      <c r="G9" s="77">
        <f>78721.24</f>
        <v>78721.240000000005</v>
      </c>
      <c r="H9" s="77">
        <f>14256.31</f>
        <v>14256.31</v>
      </c>
      <c r="I9" s="77">
        <f>11718.98</f>
        <v>11718.98</v>
      </c>
      <c r="J9" s="77">
        <f>14156.56</f>
        <v>14156.56</v>
      </c>
      <c r="K9" s="77">
        <f>842.4</f>
        <v>842.4</v>
      </c>
      <c r="L9" s="76"/>
      <c r="M9" s="76"/>
      <c r="N9" s="76"/>
      <c r="O9" s="77">
        <f t="shared" si="1"/>
        <v>188342.36</v>
      </c>
    </row>
    <row r="10" spans="1:15" x14ac:dyDescent="0.3">
      <c r="A10" s="71">
        <f t="shared" si="0"/>
        <v>4315</v>
      </c>
      <c r="B10" s="75" t="s">
        <v>202</v>
      </c>
      <c r="C10" s="77">
        <f>105</f>
        <v>105</v>
      </c>
      <c r="D10" s="77">
        <f>619.34</f>
        <v>619.34</v>
      </c>
      <c r="E10" s="77">
        <f>1740</f>
        <v>1740</v>
      </c>
      <c r="F10" s="77">
        <f>4276.25</f>
        <v>4276.25</v>
      </c>
      <c r="G10" s="77">
        <f>1516.36</f>
        <v>1516.36</v>
      </c>
      <c r="H10" s="77">
        <f>14523</f>
        <v>14523</v>
      </c>
      <c r="I10" s="77">
        <f>842</f>
        <v>842</v>
      </c>
      <c r="J10" s="77">
        <f>2152.9</f>
        <v>2152.9</v>
      </c>
      <c r="K10" s="77">
        <f>5540</f>
        <v>5540</v>
      </c>
      <c r="L10" s="76"/>
      <c r="M10" s="76"/>
      <c r="N10" s="76"/>
      <c r="O10" s="77">
        <f t="shared" si="1"/>
        <v>31314.850000000002</v>
      </c>
    </row>
    <row r="11" spans="1:15" x14ac:dyDescent="0.3">
      <c r="A11" s="71">
        <f t="shared" si="0"/>
        <v>4330</v>
      </c>
      <c r="B11" s="75" t="s">
        <v>203</v>
      </c>
      <c r="C11" s="77">
        <f>270</f>
        <v>270</v>
      </c>
      <c r="D11" s="77">
        <f>605</f>
        <v>605</v>
      </c>
      <c r="E11" s="77">
        <f>425</f>
        <v>425</v>
      </c>
      <c r="F11" s="77">
        <f>625</f>
        <v>625</v>
      </c>
      <c r="G11" s="77">
        <f>465</f>
        <v>465</v>
      </c>
      <c r="H11" s="77">
        <f>365</f>
        <v>365</v>
      </c>
      <c r="I11" s="77">
        <f>480</f>
        <v>480</v>
      </c>
      <c r="J11" s="77">
        <f>945</f>
        <v>945</v>
      </c>
      <c r="K11" s="76"/>
      <c r="L11" s="76"/>
      <c r="M11" s="76"/>
      <c r="N11" s="76"/>
      <c r="O11" s="77">
        <f t="shared" si="1"/>
        <v>4180</v>
      </c>
    </row>
    <row r="12" spans="1:15" x14ac:dyDescent="0.3">
      <c r="A12" s="71">
        <f t="shared" si="0"/>
        <v>4336</v>
      </c>
      <c r="B12" s="75" t="s">
        <v>204</v>
      </c>
      <c r="C12" s="77">
        <f>860</f>
        <v>860</v>
      </c>
      <c r="D12" s="77">
        <f>1070</f>
        <v>1070</v>
      </c>
      <c r="E12" s="77">
        <f>890</f>
        <v>890</v>
      </c>
      <c r="F12" s="77">
        <f>1325</f>
        <v>1325</v>
      </c>
      <c r="G12" s="77">
        <f>915</f>
        <v>915</v>
      </c>
      <c r="H12" s="77">
        <f>2650</f>
        <v>2650</v>
      </c>
      <c r="I12" s="77">
        <f>1308</f>
        <v>1308</v>
      </c>
      <c r="J12" s="77">
        <f>1100</f>
        <v>1100</v>
      </c>
      <c r="K12" s="77">
        <f>495</f>
        <v>495</v>
      </c>
      <c r="L12" s="76"/>
      <c r="M12" s="76"/>
      <c r="N12" s="76"/>
      <c r="O12" s="77">
        <f t="shared" si="1"/>
        <v>10613</v>
      </c>
    </row>
    <row r="13" spans="1:15" x14ac:dyDescent="0.3">
      <c r="A13" s="71">
        <f t="shared" si="0"/>
        <v>4337</v>
      </c>
      <c r="B13" s="75" t="s">
        <v>205</v>
      </c>
      <c r="C13" s="76"/>
      <c r="D13" s="77">
        <f>30</f>
        <v>30</v>
      </c>
      <c r="E13" s="77">
        <f>60</f>
        <v>60</v>
      </c>
      <c r="F13" s="77">
        <f>797</f>
        <v>797</v>
      </c>
      <c r="G13" s="77">
        <f>798</f>
        <v>798</v>
      </c>
      <c r="H13" s="77">
        <f>375</f>
        <v>375</v>
      </c>
      <c r="I13" s="77">
        <f>657</f>
        <v>657</v>
      </c>
      <c r="J13" s="77">
        <f>280</f>
        <v>280</v>
      </c>
      <c r="K13" s="77">
        <f>530</f>
        <v>530</v>
      </c>
      <c r="L13" s="76"/>
      <c r="M13" s="76"/>
      <c r="N13" s="76"/>
      <c r="O13" s="77">
        <f t="shared" si="1"/>
        <v>3527</v>
      </c>
    </row>
    <row r="14" spans="1:15" x14ac:dyDescent="0.3">
      <c r="A14" s="71">
        <f t="shared" si="0"/>
        <v>4345</v>
      </c>
      <c r="B14" s="75" t="s">
        <v>206</v>
      </c>
      <c r="C14" s="76"/>
      <c r="D14" s="76"/>
      <c r="E14" s="76"/>
      <c r="F14" s="76"/>
      <c r="G14" s="77">
        <f>11670</f>
        <v>11670</v>
      </c>
      <c r="H14" s="77">
        <f>112728.54</f>
        <v>112728.54</v>
      </c>
      <c r="I14" s="77">
        <f>13085.57</f>
        <v>13085.57</v>
      </c>
      <c r="J14" s="77">
        <f>520</f>
        <v>520</v>
      </c>
      <c r="K14" s="76"/>
      <c r="L14" s="76"/>
      <c r="M14" s="76"/>
      <c r="N14" s="76"/>
      <c r="O14" s="77">
        <f t="shared" si="1"/>
        <v>138004.10999999999</v>
      </c>
    </row>
    <row r="15" spans="1:15" x14ac:dyDescent="0.3">
      <c r="A15" s="71">
        <f t="shared" si="0"/>
        <v>4351</v>
      </c>
      <c r="B15" s="75" t="s">
        <v>207</v>
      </c>
      <c r="C15" s="77">
        <f>7850</f>
        <v>7850</v>
      </c>
      <c r="D15" s="77">
        <f>3625</f>
        <v>3625</v>
      </c>
      <c r="E15" s="77">
        <f>2625</f>
        <v>2625</v>
      </c>
      <c r="F15" s="77">
        <f>3175</f>
        <v>3175</v>
      </c>
      <c r="G15" s="77">
        <f>7425</f>
        <v>7425</v>
      </c>
      <c r="H15" s="77">
        <f>8450</f>
        <v>8450</v>
      </c>
      <c r="I15" s="77">
        <f>4145</f>
        <v>4145</v>
      </c>
      <c r="J15" s="77">
        <f>2625</f>
        <v>2625</v>
      </c>
      <c r="K15" s="77">
        <f>4520</f>
        <v>4520</v>
      </c>
      <c r="L15" s="76"/>
      <c r="M15" s="76"/>
      <c r="N15" s="76"/>
      <c r="O15" s="77">
        <f t="shared" si="1"/>
        <v>44440</v>
      </c>
    </row>
    <row r="16" spans="1:15" x14ac:dyDescent="0.3">
      <c r="A16" s="71" t="str">
        <f t="shared" si="0"/>
        <v>Total 10 Donations and Bequests</v>
      </c>
      <c r="B16" s="75" t="s">
        <v>208</v>
      </c>
      <c r="C16" s="78">
        <f t="shared" ref="C16:N16" si="2">((((((((C7)+(C8))+(C9))+(C10))+(C11))+(C12))+(C13))+(C14))+(C15)</f>
        <v>27426.16</v>
      </c>
      <c r="D16" s="78">
        <f t="shared" si="2"/>
        <v>16777.620000000003</v>
      </c>
      <c r="E16" s="78">
        <f t="shared" si="2"/>
        <v>28719.86</v>
      </c>
      <c r="F16" s="78">
        <f t="shared" si="2"/>
        <v>26895.82</v>
      </c>
      <c r="G16" s="78">
        <f t="shared" si="2"/>
        <v>101610.6</v>
      </c>
      <c r="H16" s="78">
        <f t="shared" si="2"/>
        <v>410187.99</v>
      </c>
      <c r="I16" s="78">
        <f t="shared" si="2"/>
        <v>33261.550000000003</v>
      </c>
      <c r="J16" s="78">
        <f t="shared" si="2"/>
        <v>21804.46</v>
      </c>
      <c r="K16" s="78">
        <f t="shared" si="2"/>
        <v>11952.4</v>
      </c>
      <c r="L16" s="78">
        <f t="shared" si="2"/>
        <v>0</v>
      </c>
      <c r="M16" s="78">
        <f t="shared" si="2"/>
        <v>0</v>
      </c>
      <c r="N16" s="78">
        <f t="shared" si="2"/>
        <v>0</v>
      </c>
      <c r="O16" s="78">
        <f t="shared" si="1"/>
        <v>678636.46000000008</v>
      </c>
    </row>
    <row r="17" spans="1:15" x14ac:dyDescent="0.3">
      <c r="A17" s="71" t="str">
        <f t="shared" si="0"/>
        <v>20 Passionist Conducted Retreats</v>
      </c>
      <c r="B17" s="75" t="s">
        <v>209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>
        <f t="shared" si="1"/>
        <v>0</v>
      </c>
    </row>
    <row r="18" spans="1:15" x14ac:dyDescent="0.3">
      <c r="A18" s="71">
        <f t="shared" si="0"/>
        <v>4405</v>
      </c>
      <c r="B18" s="75" t="s">
        <v>210</v>
      </c>
      <c r="C18" s="76"/>
      <c r="D18" s="77">
        <f>8360</f>
        <v>8360</v>
      </c>
      <c r="E18" s="77">
        <f>14593</f>
        <v>14593</v>
      </c>
      <c r="F18" s="77">
        <f>13110</f>
        <v>13110</v>
      </c>
      <c r="G18" s="77">
        <f>25980</f>
        <v>25980</v>
      </c>
      <c r="H18" s="77">
        <f>10475</f>
        <v>10475</v>
      </c>
      <c r="I18" s="77">
        <f>32110</f>
        <v>32110</v>
      </c>
      <c r="J18" s="77">
        <f>22215</f>
        <v>22215</v>
      </c>
      <c r="K18" s="77">
        <f>20080</f>
        <v>20080</v>
      </c>
      <c r="L18" s="76"/>
      <c r="M18" s="76"/>
      <c r="N18" s="76"/>
      <c r="O18" s="77">
        <f t="shared" si="1"/>
        <v>146923</v>
      </c>
    </row>
    <row r="19" spans="1:15" x14ac:dyDescent="0.3">
      <c r="A19" s="71">
        <f t="shared" si="0"/>
        <v>4410</v>
      </c>
      <c r="B19" s="75" t="s">
        <v>211</v>
      </c>
      <c r="C19" s="77">
        <f>275</f>
        <v>275</v>
      </c>
      <c r="D19" s="77">
        <f>5475</f>
        <v>5475</v>
      </c>
      <c r="E19" s="77">
        <f>10345</f>
        <v>10345</v>
      </c>
      <c r="F19" s="77">
        <f>15323</f>
        <v>15323</v>
      </c>
      <c r="G19" s="77">
        <f>18045</f>
        <v>18045</v>
      </c>
      <c r="H19" s="77">
        <f>8685</f>
        <v>8685</v>
      </c>
      <c r="I19" s="77">
        <f>2970</f>
        <v>2970</v>
      </c>
      <c r="J19" s="77">
        <f>10872</f>
        <v>10872</v>
      </c>
      <c r="K19" s="77">
        <f>825</f>
        <v>825</v>
      </c>
      <c r="L19" s="76"/>
      <c r="M19" s="76"/>
      <c r="N19" s="76"/>
      <c r="O19" s="77">
        <f t="shared" si="1"/>
        <v>72815</v>
      </c>
    </row>
    <row r="20" spans="1:15" x14ac:dyDescent="0.3">
      <c r="A20" s="71">
        <f t="shared" si="0"/>
        <v>4415</v>
      </c>
      <c r="B20" s="75" t="s">
        <v>212</v>
      </c>
      <c r="C20" s="76"/>
      <c r="D20" s="77">
        <f>470</f>
        <v>470</v>
      </c>
      <c r="E20" s="77">
        <f>320</f>
        <v>320</v>
      </c>
      <c r="F20" s="77">
        <f>2640</f>
        <v>2640</v>
      </c>
      <c r="G20" s="76"/>
      <c r="H20" s="76"/>
      <c r="I20" s="76"/>
      <c r="J20" s="76"/>
      <c r="K20" s="76"/>
      <c r="L20" s="76"/>
      <c r="M20" s="76"/>
      <c r="N20" s="76"/>
      <c r="O20" s="77">
        <f t="shared" si="1"/>
        <v>3430</v>
      </c>
    </row>
    <row r="21" spans="1:15" x14ac:dyDescent="0.3">
      <c r="A21" s="71" t="str">
        <f t="shared" si="0"/>
        <v>Total 20 Passionist Conducted Retreats</v>
      </c>
      <c r="B21" s="75" t="s">
        <v>213</v>
      </c>
      <c r="C21" s="78">
        <f t="shared" ref="C21:N21" si="3">(((C17)+(C18))+(C19))+(C20)</f>
        <v>275</v>
      </c>
      <c r="D21" s="78">
        <f t="shared" si="3"/>
        <v>14305</v>
      </c>
      <c r="E21" s="78">
        <f t="shared" si="3"/>
        <v>25258</v>
      </c>
      <c r="F21" s="78">
        <f t="shared" si="3"/>
        <v>31073</v>
      </c>
      <c r="G21" s="78">
        <f t="shared" si="3"/>
        <v>44025</v>
      </c>
      <c r="H21" s="78">
        <f t="shared" si="3"/>
        <v>19160</v>
      </c>
      <c r="I21" s="78">
        <f t="shared" si="3"/>
        <v>35080</v>
      </c>
      <c r="J21" s="78">
        <f t="shared" si="3"/>
        <v>33087</v>
      </c>
      <c r="K21" s="78">
        <f t="shared" si="3"/>
        <v>20905</v>
      </c>
      <c r="L21" s="78">
        <f t="shared" si="3"/>
        <v>0</v>
      </c>
      <c r="M21" s="78">
        <f t="shared" si="3"/>
        <v>0</v>
      </c>
      <c r="N21" s="78">
        <f t="shared" si="3"/>
        <v>0</v>
      </c>
      <c r="O21" s="78">
        <f t="shared" si="1"/>
        <v>223168</v>
      </c>
    </row>
    <row r="22" spans="1:15" x14ac:dyDescent="0.3">
      <c r="A22" s="71" t="str">
        <f t="shared" si="0"/>
        <v>30 Other Retreats and Programs</v>
      </c>
      <c r="B22" s="75" t="s">
        <v>214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7">
        <f t="shared" si="1"/>
        <v>0</v>
      </c>
    </row>
    <row r="23" spans="1:15" x14ac:dyDescent="0.3">
      <c r="A23" s="71">
        <f t="shared" si="0"/>
        <v>4460</v>
      </c>
      <c r="B23" s="75" t="s">
        <v>215</v>
      </c>
      <c r="C23" s="77">
        <f>140</f>
        <v>140</v>
      </c>
      <c r="D23" s="77">
        <f>15</f>
        <v>15</v>
      </c>
      <c r="E23" s="77">
        <f>480</f>
        <v>480</v>
      </c>
      <c r="F23" s="77">
        <f>550</f>
        <v>550</v>
      </c>
      <c r="G23" s="77">
        <f>1910</f>
        <v>1910</v>
      </c>
      <c r="H23" s="77">
        <f>855</f>
        <v>855</v>
      </c>
      <c r="I23" s="77">
        <f>295</f>
        <v>295</v>
      </c>
      <c r="J23" s="77">
        <f>1500</f>
        <v>1500</v>
      </c>
      <c r="K23" s="77">
        <f>690</f>
        <v>690</v>
      </c>
      <c r="L23" s="76"/>
      <c r="M23" s="76"/>
      <c r="N23" s="76"/>
      <c r="O23" s="77">
        <f t="shared" si="1"/>
        <v>6435</v>
      </c>
    </row>
    <row r="24" spans="1:15" x14ac:dyDescent="0.3">
      <c r="A24" s="71">
        <f t="shared" si="0"/>
        <v>4481</v>
      </c>
      <c r="B24" s="75" t="s">
        <v>216</v>
      </c>
      <c r="C24" s="77">
        <f>326</f>
        <v>326</v>
      </c>
      <c r="D24" s="77">
        <f>462</f>
        <v>462</v>
      </c>
      <c r="E24" s="77">
        <f>420.75</f>
        <v>420.75</v>
      </c>
      <c r="F24" s="77">
        <f>330.5</f>
        <v>330.5</v>
      </c>
      <c r="G24" s="77">
        <f>756</f>
        <v>756</v>
      </c>
      <c r="H24" s="76"/>
      <c r="I24" s="76"/>
      <c r="J24" s="76"/>
      <c r="K24" s="76"/>
      <c r="L24" s="76"/>
      <c r="M24" s="76"/>
      <c r="N24" s="76"/>
      <c r="O24" s="77">
        <f t="shared" si="1"/>
        <v>2295.25</v>
      </c>
    </row>
    <row r="25" spans="1:15" x14ac:dyDescent="0.3">
      <c r="A25" s="71">
        <f t="shared" si="0"/>
        <v>4550</v>
      </c>
      <c r="B25" s="75" t="s">
        <v>217</v>
      </c>
      <c r="C25" s="77">
        <f>0</f>
        <v>0</v>
      </c>
      <c r="D25" s="76"/>
      <c r="E25" s="76"/>
      <c r="F25" s="77">
        <f>550</f>
        <v>550</v>
      </c>
      <c r="G25" s="76"/>
      <c r="H25" s="77">
        <f>400</f>
        <v>400</v>
      </c>
      <c r="I25" s="77">
        <f>605</f>
        <v>605</v>
      </c>
      <c r="J25" s="76"/>
      <c r="K25" s="76"/>
      <c r="L25" s="76"/>
      <c r="M25" s="76"/>
      <c r="N25" s="76"/>
      <c r="O25" s="77">
        <f t="shared" si="1"/>
        <v>1555</v>
      </c>
    </row>
    <row r="26" spans="1:15" x14ac:dyDescent="0.3">
      <c r="A26" s="71">
        <f t="shared" si="0"/>
        <v>4560</v>
      </c>
      <c r="B26" s="75" t="s">
        <v>218</v>
      </c>
      <c r="C26" s="77">
        <f>320</f>
        <v>320</v>
      </c>
      <c r="D26" s="76"/>
      <c r="E26" s="76"/>
      <c r="F26" s="77">
        <f>503</f>
        <v>503</v>
      </c>
      <c r="G26" s="77">
        <f>100</f>
        <v>100</v>
      </c>
      <c r="H26" s="77">
        <f>298</f>
        <v>298</v>
      </c>
      <c r="I26" s="77">
        <f>100</f>
        <v>100</v>
      </c>
      <c r="J26" s="76"/>
      <c r="K26" s="77">
        <f>100</f>
        <v>100</v>
      </c>
      <c r="L26" s="76"/>
      <c r="M26" s="76"/>
      <c r="N26" s="76"/>
      <c r="O26" s="77">
        <f t="shared" si="1"/>
        <v>1421</v>
      </c>
    </row>
    <row r="27" spans="1:15" x14ac:dyDescent="0.3">
      <c r="A27" s="71" t="str">
        <f t="shared" si="0"/>
        <v>Total 30 Other Retreats and Programs</v>
      </c>
      <c r="B27" s="75" t="s">
        <v>219</v>
      </c>
      <c r="C27" s="78">
        <f t="shared" ref="C27:N27" si="4">((((C22)+(C23))+(C24))+(C25))+(C26)</f>
        <v>786</v>
      </c>
      <c r="D27" s="78">
        <f t="shared" si="4"/>
        <v>477</v>
      </c>
      <c r="E27" s="78">
        <f t="shared" si="4"/>
        <v>900.75</v>
      </c>
      <c r="F27" s="78">
        <f t="shared" si="4"/>
        <v>1933.5</v>
      </c>
      <c r="G27" s="78">
        <f t="shared" si="4"/>
        <v>2766</v>
      </c>
      <c r="H27" s="78">
        <f t="shared" si="4"/>
        <v>1553</v>
      </c>
      <c r="I27" s="78">
        <f t="shared" si="4"/>
        <v>1000</v>
      </c>
      <c r="J27" s="78">
        <f t="shared" si="4"/>
        <v>1500</v>
      </c>
      <c r="K27" s="78">
        <f t="shared" si="4"/>
        <v>790</v>
      </c>
      <c r="L27" s="78">
        <f t="shared" si="4"/>
        <v>0</v>
      </c>
      <c r="M27" s="78">
        <f t="shared" si="4"/>
        <v>0</v>
      </c>
      <c r="N27" s="78">
        <f t="shared" si="4"/>
        <v>0</v>
      </c>
      <c r="O27" s="78">
        <f t="shared" si="1"/>
        <v>11706.25</v>
      </c>
    </row>
    <row r="28" spans="1:15" x14ac:dyDescent="0.3">
      <c r="A28" s="71" t="str">
        <f t="shared" si="0"/>
        <v>40 Hosted Programs</v>
      </c>
      <c r="B28" s="75" t="s">
        <v>220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>
        <f t="shared" si="1"/>
        <v>0</v>
      </c>
    </row>
    <row r="29" spans="1:15" x14ac:dyDescent="0.3">
      <c r="A29" s="71" t="str">
        <f t="shared" si="0"/>
        <v>43 Hosted Programs - Overnight</v>
      </c>
      <c r="B29" s="75" t="s">
        <v>221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>
        <f t="shared" si="1"/>
        <v>0</v>
      </c>
    </row>
    <row r="30" spans="1:15" x14ac:dyDescent="0.3">
      <c r="A30" s="71">
        <f t="shared" si="0"/>
        <v>4505</v>
      </c>
      <c r="B30" s="75" t="s">
        <v>222</v>
      </c>
      <c r="C30" s="76"/>
      <c r="D30" s="76"/>
      <c r="E30" s="77">
        <f>7714.25</f>
        <v>7714.25</v>
      </c>
      <c r="F30" s="77">
        <f>10904.25</f>
        <v>10904.25</v>
      </c>
      <c r="G30" s="77">
        <f>6370.5</f>
        <v>6370.5</v>
      </c>
      <c r="H30" s="77">
        <f>8756.25</f>
        <v>8756.25</v>
      </c>
      <c r="I30" s="77">
        <f>12175.5</f>
        <v>12175.5</v>
      </c>
      <c r="J30" s="77">
        <f>29908.5</f>
        <v>29908.5</v>
      </c>
      <c r="K30" s="76"/>
      <c r="L30" s="76"/>
      <c r="M30" s="76"/>
      <c r="N30" s="76"/>
      <c r="O30" s="77">
        <f t="shared" si="1"/>
        <v>75829.25</v>
      </c>
    </row>
    <row r="31" spans="1:15" x14ac:dyDescent="0.3">
      <c r="A31" s="71">
        <f t="shared" si="0"/>
        <v>4510</v>
      </c>
      <c r="B31" s="75" t="s">
        <v>223</v>
      </c>
      <c r="C31" s="77">
        <f>21355</f>
        <v>21355</v>
      </c>
      <c r="D31" s="77">
        <f>25</f>
        <v>25</v>
      </c>
      <c r="E31" s="77">
        <f>9107.5</f>
        <v>9107.5</v>
      </c>
      <c r="F31" s="77">
        <f>15266.5</f>
        <v>15266.5</v>
      </c>
      <c r="G31" s="77">
        <f>16405</f>
        <v>16405</v>
      </c>
      <c r="H31" s="77">
        <f>1434</f>
        <v>1434</v>
      </c>
      <c r="I31" s="77">
        <f>636</f>
        <v>636</v>
      </c>
      <c r="J31" s="77">
        <f>12554</f>
        <v>12554</v>
      </c>
      <c r="K31" s="77">
        <f>8853.5</f>
        <v>8853.5</v>
      </c>
      <c r="L31" s="76"/>
      <c r="M31" s="76"/>
      <c r="N31" s="76"/>
      <c r="O31" s="77">
        <f t="shared" si="1"/>
        <v>85636.5</v>
      </c>
    </row>
    <row r="32" spans="1:15" x14ac:dyDescent="0.3">
      <c r="A32" s="71">
        <f t="shared" si="0"/>
        <v>4515</v>
      </c>
      <c r="B32" s="75" t="s">
        <v>224</v>
      </c>
      <c r="C32" s="77">
        <f>3400.75</f>
        <v>3400.75</v>
      </c>
      <c r="D32" s="77">
        <f>37159.95</f>
        <v>37159.949999999997</v>
      </c>
      <c r="E32" s="77">
        <f>6471</f>
        <v>6471</v>
      </c>
      <c r="F32" s="77">
        <f>3502</f>
        <v>3502</v>
      </c>
      <c r="G32" s="77">
        <f>1539</f>
        <v>1539</v>
      </c>
      <c r="H32" s="76"/>
      <c r="I32" s="76"/>
      <c r="J32" s="77">
        <f>211</f>
        <v>211</v>
      </c>
      <c r="K32" s="76"/>
      <c r="L32" s="76"/>
      <c r="M32" s="76"/>
      <c r="N32" s="76"/>
      <c r="O32" s="77">
        <f t="shared" si="1"/>
        <v>52283.7</v>
      </c>
    </row>
    <row r="33" spans="1:15" x14ac:dyDescent="0.3">
      <c r="A33" s="71" t="str">
        <f t="shared" si="0"/>
        <v>Total 43 Hosted Programs - Overnight</v>
      </c>
      <c r="B33" s="75" t="s">
        <v>225</v>
      </c>
      <c r="C33" s="78">
        <f t="shared" ref="C33:N33" si="5">(((C29)+(C30))+(C31))+(C32)</f>
        <v>24755.75</v>
      </c>
      <c r="D33" s="78">
        <f t="shared" si="5"/>
        <v>37184.949999999997</v>
      </c>
      <c r="E33" s="78">
        <f t="shared" si="5"/>
        <v>23292.75</v>
      </c>
      <c r="F33" s="78">
        <f t="shared" si="5"/>
        <v>29672.75</v>
      </c>
      <c r="G33" s="78">
        <f t="shared" si="5"/>
        <v>24314.5</v>
      </c>
      <c r="H33" s="78">
        <f t="shared" si="5"/>
        <v>10190.25</v>
      </c>
      <c r="I33" s="78">
        <f t="shared" si="5"/>
        <v>12811.5</v>
      </c>
      <c r="J33" s="78">
        <f t="shared" si="5"/>
        <v>42673.5</v>
      </c>
      <c r="K33" s="78">
        <f t="shared" si="5"/>
        <v>8853.5</v>
      </c>
      <c r="L33" s="78">
        <f t="shared" si="5"/>
        <v>0</v>
      </c>
      <c r="M33" s="78">
        <f t="shared" si="5"/>
        <v>0</v>
      </c>
      <c r="N33" s="78">
        <f t="shared" si="5"/>
        <v>0</v>
      </c>
      <c r="O33" s="78">
        <f t="shared" si="1"/>
        <v>213749.45</v>
      </c>
    </row>
    <row r="34" spans="1:15" x14ac:dyDescent="0.3">
      <c r="A34" s="71" t="str">
        <f t="shared" si="0"/>
        <v>45 Hosted Programs - Day</v>
      </c>
      <c r="B34" s="75" t="s">
        <v>226</v>
      </c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7">
        <f t="shared" si="1"/>
        <v>0</v>
      </c>
    </row>
    <row r="35" spans="1:15" x14ac:dyDescent="0.3">
      <c r="A35" s="71">
        <f t="shared" si="0"/>
        <v>4535</v>
      </c>
      <c r="B35" s="75" t="s">
        <v>227</v>
      </c>
      <c r="C35" s="76"/>
      <c r="D35" s="76"/>
      <c r="E35" s="77">
        <f>5016</f>
        <v>5016</v>
      </c>
      <c r="F35" s="77">
        <f>638</f>
        <v>638</v>
      </c>
      <c r="G35" s="77">
        <f>3806</f>
        <v>3806</v>
      </c>
      <c r="H35" s="77">
        <f>638</f>
        <v>638</v>
      </c>
      <c r="I35" s="77">
        <f>3124</f>
        <v>3124</v>
      </c>
      <c r="J35" s="77">
        <f>6026.75</f>
        <v>6026.75</v>
      </c>
      <c r="K35" s="77">
        <f>1078</f>
        <v>1078</v>
      </c>
      <c r="L35" s="76"/>
      <c r="M35" s="76"/>
      <c r="N35" s="76"/>
      <c r="O35" s="77">
        <f t="shared" si="1"/>
        <v>20326.75</v>
      </c>
    </row>
    <row r="36" spans="1:15" x14ac:dyDescent="0.3">
      <c r="A36" s="71">
        <f t="shared" si="0"/>
        <v>4540</v>
      </c>
      <c r="B36" s="75" t="s">
        <v>228</v>
      </c>
      <c r="C36" s="77">
        <f>519.75</f>
        <v>519.75</v>
      </c>
      <c r="D36" s="77">
        <f>6659.5</f>
        <v>6659.5</v>
      </c>
      <c r="E36" s="77">
        <f>159.75</f>
        <v>159.75</v>
      </c>
      <c r="F36" s="77">
        <f>1612</f>
        <v>1612</v>
      </c>
      <c r="G36" s="77">
        <f>896.25</f>
        <v>896.25</v>
      </c>
      <c r="H36" s="77">
        <f>2120</f>
        <v>2120</v>
      </c>
      <c r="I36" s="77">
        <f>428.75</f>
        <v>428.75</v>
      </c>
      <c r="J36" s="77">
        <f>709</f>
        <v>709</v>
      </c>
      <c r="K36" s="76"/>
      <c r="L36" s="76"/>
      <c r="M36" s="76"/>
      <c r="N36" s="76"/>
      <c r="O36" s="77">
        <f t="shared" si="1"/>
        <v>13105</v>
      </c>
    </row>
    <row r="37" spans="1:15" x14ac:dyDescent="0.3">
      <c r="A37" s="71">
        <f t="shared" si="0"/>
        <v>4545</v>
      </c>
      <c r="B37" s="75" t="s">
        <v>229</v>
      </c>
      <c r="C37" s="77">
        <f>1575</f>
        <v>1575</v>
      </c>
      <c r="D37" s="77">
        <f>212</f>
        <v>212</v>
      </c>
      <c r="E37" s="77">
        <f>4771.25</f>
        <v>4771.25</v>
      </c>
      <c r="F37" s="76"/>
      <c r="G37" s="76"/>
      <c r="H37" s="77">
        <f>1560</f>
        <v>1560</v>
      </c>
      <c r="I37" s="77">
        <f>627</f>
        <v>627</v>
      </c>
      <c r="J37" s="77">
        <f>100</f>
        <v>100</v>
      </c>
      <c r="K37" s="76"/>
      <c r="L37" s="76"/>
      <c r="M37" s="76"/>
      <c r="N37" s="76"/>
      <c r="O37" s="77">
        <f t="shared" si="1"/>
        <v>8845.25</v>
      </c>
    </row>
    <row r="38" spans="1:15" x14ac:dyDescent="0.3">
      <c r="A38" s="71">
        <f t="shared" si="0"/>
        <v>4548</v>
      </c>
      <c r="B38" s="75" t="s">
        <v>230</v>
      </c>
      <c r="C38" s="76"/>
      <c r="D38" s="76"/>
      <c r="E38" s="76"/>
      <c r="F38" s="77">
        <f>100</f>
        <v>100</v>
      </c>
      <c r="G38" s="76"/>
      <c r="H38" s="76"/>
      <c r="I38" s="76"/>
      <c r="J38" s="76"/>
      <c r="K38" s="77">
        <f>50</f>
        <v>50</v>
      </c>
      <c r="L38" s="76"/>
      <c r="M38" s="76"/>
      <c r="N38" s="76"/>
      <c r="O38" s="77">
        <f t="shared" si="1"/>
        <v>150</v>
      </c>
    </row>
    <row r="39" spans="1:15" x14ac:dyDescent="0.3">
      <c r="A39" s="71" t="str">
        <f t="shared" si="0"/>
        <v>Total 45 Hosted Programs - Day</v>
      </c>
      <c r="B39" s="75" t="s">
        <v>231</v>
      </c>
      <c r="C39" s="78">
        <f t="shared" ref="C39:N39" si="6">((((C34)+(C35))+(C36))+(C37))+(C38)</f>
        <v>2094.75</v>
      </c>
      <c r="D39" s="78">
        <f t="shared" si="6"/>
        <v>6871.5</v>
      </c>
      <c r="E39" s="78">
        <f t="shared" si="6"/>
        <v>9947</v>
      </c>
      <c r="F39" s="78">
        <f t="shared" si="6"/>
        <v>2350</v>
      </c>
      <c r="G39" s="78">
        <f t="shared" si="6"/>
        <v>4702.25</v>
      </c>
      <c r="H39" s="78">
        <f t="shared" si="6"/>
        <v>4318</v>
      </c>
      <c r="I39" s="78">
        <f t="shared" si="6"/>
        <v>4179.75</v>
      </c>
      <c r="J39" s="78">
        <f t="shared" si="6"/>
        <v>6835.75</v>
      </c>
      <c r="K39" s="78">
        <f t="shared" si="6"/>
        <v>1128</v>
      </c>
      <c r="L39" s="78">
        <f t="shared" si="6"/>
        <v>0</v>
      </c>
      <c r="M39" s="78">
        <f t="shared" si="6"/>
        <v>0</v>
      </c>
      <c r="N39" s="78">
        <f t="shared" si="6"/>
        <v>0</v>
      </c>
      <c r="O39" s="78">
        <f t="shared" si="1"/>
        <v>42427</v>
      </c>
    </row>
    <row r="40" spans="1:15" x14ac:dyDescent="0.3">
      <c r="A40" s="71" t="str">
        <f t="shared" si="0"/>
        <v>Total 40 Hosted Programs</v>
      </c>
      <c r="B40" s="75" t="s">
        <v>232</v>
      </c>
      <c r="C40" s="78">
        <f t="shared" ref="C40:N40" si="7">((C28)+(C33))+(C39)</f>
        <v>26850.5</v>
      </c>
      <c r="D40" s="78">
        <f t="shared" si="7"/>
        <v>44056.45</v>
      </c>
      <c r="E40" s="78">
        <f t="shared" si="7"/>
        <v>33239.75</v>
      </c>
      <c r="F40" s="78">
        <f t="shared" si="7"/>
        <v>32022.75</v>
      </c>
      <c r="G40" s="78">
        <f t="shared" si="7"/>
        <v>29016.75</v>
      </c>
      <c r="H40" s="78">
        <f t="shared" si="7"/>
        <v>14508.25</v>
      </c>
      <c r="I40" s="78">
        <f t="shared" si="7"/>
        <v>16991.25</v>
      </c>
      <c r="J40" s="78">
        <f t="shared" si="7"/>
        <v>49509.25</v>
      </c>
      <c r="K40" s="78">
        <f t="shared" si="7"/>
        <v>9981.5</v>
      </c>
      <c r="L40" s="78">
        <f t="shared" si="7"/>
        <v>0</v>
      </c>
      <c r="M40" s="78">
        <f t="shared" si="7"/>
        <v>0</v>
      </c>
      <c r="N40" s="78">
        <f t="shared" si="7"/>
        <v>0</v>
      </c>
      <c r="O40" s="78">
        <f t="shared" si="1"/>
        <v>256176.45</v>
      </c>
    </row>
    <row r="41" spans="1:15" x14ac:dyDescent="0.3">
      <c r="A41" s="71" t="str">
        <f t="shared" si="0"/>
        <v>50 Gift Shop</v>
      </c>
      <c r="B41" s="75" t="s">
        <v>233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>
        <f t="shared" si="1"/>
        <v>0</v>
      </c>
    </row>
    <row r="42" spans="1:15" x14ac:dyDescent="0.3">
      <c r="A42" s="71">
        <f t="shared" si="0"/>
        <v>4602</v>
      </c>
      <c r="B42" s="75" t="s">
        <v>234</v>
      </c>
      <c r="C42" s="77">
        <f>125</f>
        <v>125</v>
      </c>
      <c r="D42" s="77">
        <f>40</f>
        <v>40</v>
      </c>
      <c r="E42" s="77">
        <f>67</f>
        <v>67</v>
      </c>
      <c r="F42" s="77">
        <f>74</f>
        <v>74</v>
      </c>
      <c r="G42" s="77">
        <f>129.5</f>
        <v>129.5</v>
      </c>
      <c r="H42" s="77">
        <f>92.5</f>
        <v>92.5</v>
      </c>
      <c r="I42" s="76"/>
      <c r="J42" s="77">
        <f>25</f>
        <v>25</v>
      </c>
      <c r="K42" s="77">
        <f>333.8</f>
        <v>333.8</v>
      </c>
      <c r="L42" s="76"/>
      <c r="M42" s="76"/>
      <c r="N42" s="76"/>
      <c r="O42" s="77">
        <f t="shared" si="1"/>
        <v>886.8</v>
      </c>
    </row>
    <row r="43" spans="1:15" x14ac:dyDescent="0.3">
      <c r="A43" s="71">
        <f t="shared" si="0"/>
        <v>4604</v>
      </c>
      <c r="B43" s="75" t="s">
        <v>235</v>
      </c>
      <c r="C43" s="77">
        <f>273.58</f>
        <v>273.58</v>
      </c>
      <c r="D43" s="77">
        <f>909.16</f>
        <v>909.16</v>
      </c>
      <c r="E43" s="77">
        <f>880.15</f>
        <v>880.15</v>
      </c>
      <c r="F43" s="77">
        <f>1124.4</f>
        <v>1124.4000000000001</v>
      </c>
      <c r="G43" s="77">
        <f>1667.24</f>
        <v>1667.24</v>
      </c>
      <c r="H43" s="77">
        <f>1304.7</f>
        <v>1304.7</v>
      </c>
      <c r="I43" s="77">
        <f>393.95</f>
        <v>393.95</v>
      </c>
      <c r="J43" s="77">
        <f>709.4</f>
        <v>709.4</v>
      </c>
      <c r="K43" s="77">
        <f>721.75</f>
        <v>721.75</v>
      </c>
      <c r="L43" s="76"/>
      <c r="M43" s="76"/>
      <c r="N43" s="76"/>
      <c r="O43" s="77">
        <f t="shared" si="1"/>
        <v>7984.329999999999</v>
      </c>
    </row>
    <row r="44" spans="1:15" x14ac:dyDescent="0.3">
      <c r="A44" s="71">
        <f t="shared" si="0"/>
        <v>4605</v>
      </c>
      <c r="B44" s="75" t="s">
        <v>236</v>
      </c>
      <c r="C44" s="77">
        <f>184.55</f>
        <v>184.55</v>
      </c>
      <c r="D44" s="77">
        <f>426.94</f>
        <v>426.94</v>
      </c>
      <c r="E44" s="77">
        <f>222.58</f>
        <v>222.58</v>
      </c>
      <c r="F44" s="77">
        <f>405.89</f>
        <v>405.89</v>
      </c>
      <c r="G44" s="77">
        <f>282.28</f>
        <v>282.27999999999997</v>
      </c>
      <c r="H44" s="77">
        <f>324.05</f>
        <v>324.05</v>
      </c>
      <c r="I44" s="77">
        <f>172.59</f>
        <v>172.59</v>
      </c>
      <c r="J44" s="77">
        <f>330.79</f>
        <v>330.79</v>
      </c>
      <c r="K44" s="77">
        <f>162.08</f>
        <v>162.08000000000001</v>
      </c>
      <c r="L44" s="76"/>
      <c r="M44" s="76"/>
      <c r="N44" s="76"/>
      <c r="O44" s="77">
        <f t="shared" si="1"/>
        <v>2511.75</v>
      </c>
    </row>
    <row r="45" spans="1:15" x14ac:dyDescent="0.3">
      <c r="A45" s="71" t="str">
        <f t="shared" si="0"/>
        <v>Total 50 Gift Shop</v>
      </c>
      <c r="B45" s="75" t="s">
        <v>237</v>
      </c>
      <c r="C45" s="78">
        <f t="shared" ref="C45:N45" si="8">(((C41)+(C42))+(C43))+(C44)</f>
        <v>583.13</v>
      </c>
      <c r="D45" s="78">
        <f t="shared" si="8"/>
        <v>1376.1</v>
      </c>
      <c r="E45" s="78">
        <f t="shared" si="8"/>
        <v>1169.73</v>
      </c>
      <c r="F45" s="78">
        <f t="shared" si="8"/>
        <v>1604.29</v>
      </c>
      <c r="G45" s="78">
        <f t="shared" si="8"/>
        <v>2079.02</v>
      </c>
      <c r="H45" s="78">
        <f t="shared" si="8"/>
        <v>1721.25</v>
      </c>
      <c r="I45" s="78">
        <f t="shared" si="8"/>
        <v>566.54</v>
      </c>
      <c r="J45" s="78">
        <f t="shared" si="8"/>
        <v>1065.19</v>
      </c>
      <c r="K45" s="78">
        <f t="shared" si="8"/>
        <v>1217.6299999999999</v>
      </c>
      <c r="L45" s="78">
        <f t="shared" si="8"/>
        <v>0</v>
      </c>
      <c r="M45" s="78">
        <f t="shared" si="8"/>
        <v>0</v>
      </c>
      <c r="N45" s="78">
        <f t="shared" si="8"/>
        <v>0</v>
      </c>
      <c r="O45" s="78">
        <f t="shared" si="1"/>
        <v>11382.880000000001</v>
      </c>
    </row>
    <row r="46" spans="1:15" x14ac:dyDescent="0.3">
      <c r="A46" s="71" t="str">
        <f t="shared" si="0"/>
        <v>60 Other Income</v>
      </c>
      <c r="B46" s="75" t="s">
        <v>238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>
        <f t="shared" si="1"/>
        <v>0</v>
      </c>
    </row>
    <row r="47" spans="1:15" x14ac:dyDescent="0.3">
      <c r="A47" s="71" t="str">
        <f t="shared" si="0"/>
        <v>63 Special Events</v>
      </c>
      <c r="B47" s="75" t="s">
        <v>239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7">
        <f t="shared" si="1"/>
        <v>0</v>
      </c>
    </row>
    <row r="48" spans="1:15" x14ac:dyDescent="0.3">
      <c r="A48" s="71">
        <f t="shared" si="0"/>
        <v>4350</v>
      </c>
      <c r="B48" s="75" t="s">
        <v>240</v>
      </c>
      <c r="C48" s="77">
        <f>62355</f>
        <v>62355</v>
      </c>
      <c r="D48" s="77">
        <f>205</f>
        <v>205</v>
      </c>
      <c r="E48" s="77">
        <f>50</f>
        <v>50</v>
      </c>
      <c r="F48" s="76"/>
      <c r="G48" s="76"/>
      <c r="H48" s="76"/>
      <c r="I48" s="76"/>
      <c r="J48" s="76"/>
      <c r="K48" s="76"/>
      <c r="L48" s="76"/>
      <c r="M48" s="76"/>
      <c r="N48" s="76"/>
      <c r="O48" s="77">
        <f t="shared" si="1"/>
        <v>62610</v>
      </c>
    </row>
    <row r="49" spans="1:15" x14ac:dyDescent="0.3">
      <c r="A49" s="71">
        <f t="shared" si="0"/>
        <v>4620</v>
      </c>
      <c r="B49" s="75" t="s">
        <v>402</v>
      </c>
      <c r="C49" s="76"/>
      <c r="D49" s="76"/>
      <c r="E49" s="77">
        <f>275</f>
        <v>275</v>
      </c>
      <c r="F49" s="77">
        <f>4704</f>
        <v>4704</v>
      </c>
      <c r="G49" s="76"/>
      <c r="H49" s="76"/>
      <c r="I49" s="76"/>
      <c r="J49" s="76"/>
      <c r="K49" s="76"/>
      <c r="L49" s="76"/>
      <c r="M49" s="76"/>
      <c r="N49" s="76"/>
      <c r="O49" s="77">
        <f t="shared" si="1"/>
        <v>4979</v>
      </c>
    </row>
    <row r="50" spans="1:15" x14ac:dyDescent="0.3">
      <c r="A50" s="71">
        <f t="shared" si="0"/>
        <v>4661</v>
      </c>
      <c r="B50" s="75" t="s">
        <v>241</v>
      </c>
      <c r="C50" s="77">
        <f>4578</f>
        <v>4578</v>
      </c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>
        <f t="shared" si="1"/>
        <v>4578</v>
      </c>
    </row>
    <row r="51" spans="1:15" x14ac:dyDescent="0.3">
      <c r="A51" s="71" t="str">
        <f t="shared" si="0"/>
        <v>Total 63 Special Events</v>
      </c>
      <c r="B51" s="75" t="s">
        <v>242</v>
      </c>
      <c r="C51" s="78">
        <f t="shared" ref="C51:N51" si="9">(((C47)+(C48))+(C49))+(C50)</f>
        <v>66933</v>
      </c>
      <c r="D51" s="78">
        <f t="shared" si="9"/>
        <v>205</v>
      </c>
      <c r="E51" s="78">
        <f t="shared" si="9"/>
        <v>325</v>
      </c>
      <c r="F51" s="78">
        <f t="shared" si="9"/>
        <v>4704</v>
      </c>
      <c r="G51" s="78">
        <f t="shared" si="9"/>
        <v>0</v>
      </c>
      <c r="H51" s="78">
        <f t="shared" si="9"/>
        <v>0</v>
      </c>
      <c r="I51" s="78">
        <f t="shared" si="9"/>
        <v>0</v>
      </c>
      <c r="J51" s="78">
        <f t="shared" si="9"/>
        <v>0</v>
      </c>
      <c r="K51" s="78">
        <f t="shared" si="9"/>
        <v>0</v>
      </c>
      <c r="L51" s="78">
        <f t="shared" si="9"/>
        <v>0</v>
      </c>
      <c r="M51" s="78">
        <f t="shared" si="9"/>
        <v>0</v>
      </c>
      <c r="N51" s="78">
        <f t="shared" si="9"/>
        <v>0</v>
      </c>
      <c r="O51" s="78">
        <f t="shared" si="1"/>
        <v>72167</v>
      </c>
    </row>
    <row r="52" spans="1:15" x14ac:dyDescent="0.3">
      <c r="A52" s="71" t="str">
        <f t="shared" si="0"/>
        <v>65 Other Income</v>
      </c>
      <c r="B52" s="75" t="s">
        <v>243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7">
        <f t="shared" si="1"/>
        <v>0</v>
      </c>
    </row>
    <row r="53" spans="1:15" x14ac:dyDescent="0.3">
      <c r="A53" s="71">
        <f t="shared" si="0"/>
        <v>4681</v>
      </c>
      <c r="B53" s="75" t="s">
        <v>403</v>
      </c>
      <c r="C53" s="77">
        <f>8794.43</f>
        <v>8794.43</v>
      </c>
      <c r="D53" s="77">
        <f>9761.4</f>
        <v>9761.4</v>
      </c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>
        <f t="shared" si="1"/>
        <v>18555.830000000002</v>
      </c>
    </row>
    <row r="54" spans="1:15" x14ac:dyDescent="0.3">
      <c r="A54" s="71">
        <f t="shared" si="0"/>
        <v>4881</v>
      </c>
      <c r="B54" s="75" t="s">
        <v>245</v>
      </c>
      <c r="C54" s="76"/>
      <c r="D54" s="76"/>
      <c r="E54" s="77">
        <f>-3927.71</f>
        <v>-3927.71</v>
      </c>
      <c r="F54" s="76"/>
      <c r="G54" s="76"/>
      <c r="H54" s="77">
        <f>55576.05</f>
        <v>55576.05</v>
      </c>
      <c r="I54" s="76"/>
      <c r="J54" s="76"/>
      <c r="K54" s="76"/>
      <c r="L54" s="76"/>
      <c r="M54" s="76"/>
      <c r="N54" s="76"/>
      <c r="O54" s="77">
        <f t="shared" si="1"/>
        <v>51648.340000000004</v>
      </c>
    </row>
    <row r="55" spans="1:15" x14ac:dyDescent="0.3">
      <c r="A55" s="71" t="str">
        <f t="shared" si="0"/>
        <v>Total 65 Other Income</v>
      </c>
      <c r="B55" s="75" t="s">
        <v>246</v>
      </c>
      <c r="C55" s="78">
        <f t="shared" ref="C55:N55" si="10">((C52)+(C53))+(C54)</f>
        <v>8794.43</v>
      </c>
      <c r="D55" s="78">
        <f t="shared" si="10"/>
        <v>9761.4</v>
      </c>
      <c r="E55" s="78">
        <f t="shared" si="10"/>
        <v>-3927.71</v>
      </c>
      <c r="F55" s="78">
        <f t="shared" si="10"/>
        <v>0</v>
      </c>
      <c r="G55" s="78">
        <f t="shared" si="10"/>
        <v>0</v>
      </c>
      <c r="H55" s="78">
        <f t="shared" si="10"/>
        <v>55576.05</v>
      </c>
      <c r="I55" s="78">
        <f t="shared" si="10"/>
        <v>0</v>
      </c>
      <c r="J55" s="78">
        <f t="shared" si="10"/>
        <v>0</v>
      </c>
      <c r="K55" s="78">
        <f t="shared" si="10"/>
        <v>0</v>
      </c>
      <c r="L55" s="78">
        <f t="shared" si="10"/>
        <v>0</v>
      </c>
      <c r="M55" s="78">
        <f t="shared" si="10"/>
        <v>0</v>
      </c>
      <c r="N55" s="78">
        <f t="shared" si="10"/>
        <v>0</v>
      </c>
      <c r="O55" s="78">
        <f t="shared" si="1"/>
        <v>70204.170000000013</v>
      </c>
    </row>
    <row r="56" spans="1:15" x14ac:dyDescent="0.3">
      <c r="A56" s="71" t="str">
        <f t="shared" si="0"/>
        <v>Total 60 Other Income</v>
      </c>
      <c r="B56" s="75" t="s">
        <v>247</v>
      </c>
      <c r="C56" s="78">
        <f t="shared" ref="C56:N56" si="11">((C46)+(C51))+(C55)</f>
        <v>75727.429999999993</v>
      </c>
      <c r="D56" s="78">
        <f t="shared" si="11"/>
        <v>9966.4</v>
      </c>
      <c r="E56" s="78">
        <f t="shared" si="11"/>
        <v>-3602.71</v>
      </c>
      <c r="F56" s="78">
        <f t="shared" si="11"/>
        <v>4704</v>
      </c>
      <c r="G56" s="78">
        <f t="shared" si="11"/>
        <v>0</v>
      </c>
      <c r="H56" s="78">
        <f t="shared" si="11"/>
        <v>55576.05</v>
      </c>
      <c r="I56" s="78">
        <f t="shared" si="11"/>
        <v>0</v>
      </c>
      <c r="J56" s="78">
        <f t="shared" si="11"/>
        <v>0</v>
      </c>
      <c r="K56" s="78">
        <f t="shared" si="11"/>
        <v>0</v>
      </c>
      <c r="L56" s="78">
        <f t="shared" si="11"/>
        <v>0</v>
      </c>
      <c r="M56" s="78">
        <f t="shared" si="11"/>
        <v>0</v>
      </c>
      <c r="N56" s="78">
        <f t="shared" si="11"/>
        <v>0</v>
      </c>
      <c r="O56" s="78">
        <f t="shared" si="1"/>
        <v>142371.16999999998</v>
      </c>
    </row>
    <row r="57" spans="1:15" x14ac:dyDescent="0.3">
      <c r="A57" s="71" t="str">
        <f t="shared" si="0"/>
        <v>Discounts given</v>
      </c>
      <c r="B57" s="75" t="s">
        <v>404</v>
      </c>
      <c r="C57" s="76"/>
      <c r="D57" s="77">
        <f>0</f>
        <v>0</v>
      </c>
      <c r="E57" s="76"/>
      <c r="F57" s="76"/>
      <c r="G57" s="76"/>
      <c r="H57" s="77">
        <f>0</f>
        <v>0</v>
      </c>
      <c r="I57" s="76"/>
      <c r="J57" s="76"/>
      <c r="K57" s="76"/>
      <c r="L57" s="76"/>
      <c r="M57" s="76"/>
      <c r="N57" s="76"/>
      <c r="O57" s="77">
        <f t="shared" si="1"/>
        <v>0</v>
      </c>
    </row>
    <row r="58" spans="1:15" x14ac:dyDescent="0.3">
      <c r="A58" s="71" t="str">
        <f t="shared" si="0"/>
        <v>Sales</v>
      </c>
      <c r="B58" s="75" t="s">
        <v>405</v>
      </c>
      <c r="C58" s="76"/>
      <c r="D58" s="76"/>
      <c r="E58" s="76"/>
      <c r="F58" s="76"/>
      <c r="G58" s="76"/>
      <c r="H58" s="76"/>
      <c r="I58" s="77">
        <f>200</f>
        <v>200</v>
      </c>
      <c r="J58" s="76"/>
      <c r="K58" s="76"/>
      <c r="L58" s="76"/>
      <c r="M58" s="76"/>
      <c r="N58" s="76"/>
      <c r="O58" s="77">
        <f t="shared" si="1"/>
        <v>200</v>
      </c>
    </row>
    <row r="59" spans="1:15" x14ac:dyDescent="0.3">
      <c r="A59" s="71" t="str">
        <f t="shared" si="0"/>
        <v>Total Revenue</v>
      </c>
      <c r="B59" s="75" t="s">
        <v>195</v>
      </c>
      <c r="C59" s="78">
        <f t="shared" ref="C59:N59" si="12">(((((((C16)+(C21))+(C27))+(C40))+(C45))+(C56))+(C57))+(C58)</f>
        <v>131648.22</v>
      </c>
      <c r="D59" s="78">
        <f t="shared" si="12"/>
        <v>86958.57</v>
      </c>
      <c r="E59" s="78">
        <f t="shared" si="12"/>
        <v>85685.37999999999</v>
      </c>
      <c r="F59" s="78">
        <f t="shared" si="12"/>
        <v>98233.36</v>
      </c>
      <c r="G59" s="78">
        <f t="shared" si="12"/>
        <v>179497.37</v>
      </c>
      <c r="H59" s="78">
        <f t="shared" si="12"/>
        <v>502706.54</v>
      </c>
      <c r="I59" s="78">
        <f t="shared" si="12"/>
        <v>87099.34</v>
      </c>
      <c r="J59" s="78">
        <f t="shared" si="12"/>
        <v>106965.9</v>
      </c>
      <c r="K59" s="78">
        <f t="shared" si="12"/>
        <v>44846.53</v>
      </c>
      <c r="L59" s="78">
        <f t="shared" si="12"/>
        <v>0</v>
      </c>
      <c r="M59" s="78">
        <f t="shared" si="12"/>
        <v>0</v>
      </c>
      <c r="N59" s="78">
        <f t="shared" si="12"/>
        <v>0</v>
      </c>
      <c r="O59" s="78">
        <f t="shared" si="1"/>
        <v>1323641.21</v>
      </c>
    </row>
    <row r="60" spans="1:15" x14ac:dyDescent="0.3">
      <c r="A60" s="71" t="str">
        <f t="shared" si="0"/>
        <v>Gross Profit</v>
      </c>
      <c r="B60" s="75" t="s">
        <v>248</v>
      </c>
      <c r="C60" s="78">
        <f t="shared" ref="C60:N60" si="13">(C59)-(0)</f>
        <v>131648.22</v>
      </c>
      <c r="D60" s="78">
        <f t="shared" si="13"/>
        <v>86958.57</v>
      </c>
      <c r="E60" s="78">
        <f t="shared" si="13"/>
        <v>85685.37999999999</v>
      </c>
      <c r="F60" s="78">
        <f t="shared" si="13"/>
        <v>98233.36</v>
      </c>
      <c r="G60" s="78">
        <f t="shared" si="13"/>
        <v>179497.37</v>
      </c>
      <c r="H60" s="78">
        <f t="shared" si="13"/>
        <v>502706.54</v>
      </c>
      <c r="I60" s="78">
        <f t="shared" si="13"/>
        <v>87099.34</v>
      </c>
      <c r="J60" s="78">
        <f t="shared" si="13"/>
        <v>106965.9</v>
      </c>
      <c r="K60" s="78">
        <f t="shared" si="13"/>
        <v>44846.53</v>
      </c>
      <c r="L60" s="78">
        <f t="shared" si="13"/>
        <v>0</v>
      </c>
      <c r="M60" s="78">
        <f t="shared" si="13"/>
        <v>0</v>
      </c>
      <c r="N60" s="78">
        <f t="shared" si="13"/>
        <v>0</v>
      </c>
      <c r="O60" s="78">
        <f t="shared" si="1"/>
        <v>1323641.21</v>
      </c>
    </row>
    <row r="61" spans="1:15" x14ac:dyDescent="0.3">
      <c r="A61" s="71" t="str">
        <f t="shared" si="0"/>
        <v>Expenditures</v>
      </c>
      <c r="B61" s="75" t="s">
        <v>249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</row>
    <row r="62" spans="1:15" x14ac:dyDescent="0.3">
      <c r="A62" s="71" t="str">
        <f t="shared" si="0"/>
        <v>110 Table</v>
      </c>
      <c r="B62" s="75" t="s">
        <v>250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7">
        <f t="shared" ref="O62:O125" si="14">(((((((((((C62)+(D62))+(E62))+(F62))+(G62))+(H62))+(I62))+(J62))+(K62))+(L62))+(M62))+(N62)</f>
        <v>0</v>
      </c>
    </row>
    <row r="63" spans="1:15" x14ac:dyDescent="0.3">
      <c r="A63" s="71">
        <f t="shared" si="0"/>
        <v>6012</v>
      </c>
      <c r="B63" s="75" t="s">
        <v>252</v>
      </c>
      <c r="C63" s="77">
        <f>18335.23</f>
        <v>18335.23</v>
      </c>
      <c r="D63" s="77">
        <f>15433.71</f>
        <v>15433.71</v>
      </c>
      <c r="E63" s="77">
        <f>25947.91</f>
        <v>25947.91</v>
      </c>
      <c r="F63" s="77">
        <f>20868.47</f>
        <v>20868.47</v>
      </c>
      <c r="G63" s="77">
        <f>20650</f>
        <v>20650</v>
      </c>
      <c r="H63" s="77">
        <f>17915.12</f>
        <v>17915.12</v>
      </c>
      <c r="I63" s="77">
        <f>19524.87</f>
        <v>19524.87</v>
      </c>
      <c r="J63" s="77">
        <f>23162</f>
        <v>23162</v>
      </c>
      <c r="K63" s="77">
        <f>25065</f>
        <v>25065</v>
      </c>
      <c r="L63" s="76"/>
      <c r="M63" s="76"/>
      <c r="N63" s="76"/>
      <c r="O63" s="77">
        <f t="shared" si="14"/>
        <v>186902.31</v>
      </c>
    </row>
    <row r="64" spans="1:15" x14ac:dyDescent="0.3">
      <c r="A64" s="71">
        <f t="shared" si="0"/>
        <v>6025</v>
      </c>
      <c r="B64" s="75" t="s">
        <v>254</v>
      </c>
      <c r="C64" s="77">
        <f>100.23</f>
        <v>100.23</v>
      </c>
      <c r="D64" s="76"/>
      <c r="E64" s="77">
        <f>255.78</f>
        <v>255.78</v>
      </c>
      <c r="F64" s="76"/>
      <c r="G64" s="76"/>
      <c r="H64" s="77">
        <f>3340.49</f>
        <v>3340.49</v>
      </c>
      <c r="I64" s="76"/>
      <c r="J64" s="76"/>
      <c r="K64" s="76"/>
      <c r="L64" s="76"/>
      <c r="M64" s="76"/>
      <c r="N64" s="76"/>
      <c r="O64" s="77">
        <f t="shared" si="14"/>
        <v>3696.5</v>
      </c>
    </row>
    <row r="65" spans="1:15" x14ac:dyDescent="0.3">
      <c r="A65" s="71">
        <f t="shared" si="0"/>
        <v>6030</v>
      </c>
      <c r="B65" s="75" t="s">
        <v>255</v>
      </c>
      <c r="C65" s="77">
        <f>25.96</f>
        <v>25.96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7">
        <f t="shared" si="14"/>
        <v>25.96</v>
      </c>
    </row>
    <row r="66" spans="1:15" x14ac:dyDescent="0.3">
      <c r="A66" s="71" t="str">
        <f t="shared" si="0"/>
        <v>Total 110 Table</v>
      </c>
      <c r="B66" s="75" t="s">
        <v>256</v>
      </c>
      <c r="C66" s="78">
        <f t="shared" ref="C66:N66" si="15">(((C62)+(C63))+(C64))+(C65)</f>
        <v>18461.419999999998</v>
      </c>
      <c r="D66" s="78">
        <f t="shared" si="15"/>
        <v>15433.71</v>
      </c>
      <c r="E66" s="78">
        <f t="shared" si="15"/>
        <v>26203.69</v>
      </c>
      <c r="F66" s="78">
        <f t="shared" si="15"/>
        <v>20868.47</v>
      </c>
      <c r="G66" s="78">
        <f t="shared" si="15"/>
        <v>20650</v>
      </c>
      <c r="H66" s="78">
        <f t="shared" si="15"/>
        <v>21255.61</v>
      </c>
      <c r="I66" s="78">
        <f t="shared" si="15"/>
        <v>19524.87</v>
      </c>
      <c r="J66" s="78">
        <f t="shared" si="15"/>
        <v>23162</v>
      </c>
      <c r="K66" s="78">
        <f t="shared" si="15"/>
        <v>25065</v>
      </c>
      <c r="L66" s="78">
        <f t="shared" si="15"/>
        <v>0</v>
      </c>
      <c r="M66" s="78">
        <f t="shared" si="15"/>
        <v>0</v>
      </c>
      <c r="N66" s="78">
        <f t="shared" si="15"/>
        <v>0</v>
      </c>
      <c r="O66" s="78">
        <f t="shared" si="14"/>
        <v>190624.77</v>
      </c>
    </row>
    <row r="67" spans="1:15" x14ac:dyDescent="0.3">
      <c r="A67" s="71" t="str">
        <f t="shared" si="0"/>
        <v>115 Room</v>
      </c>
      <c r="B67" s="75" t="s">
        <v>257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7">
        <f t="shared" si="14"/>
        <v>0</v>
      </c>
    </row>
    <row r="68" spans="1:15" x14ac:dyDescent="0.3">
      <c r="A68" s="71">
        <f t="shared" si="0"/>
        <v>6055</v>
      </c>
      <c r="B68" s="75" t="s">
        <v>258</v>
      </c>
      <c r="C68" s="77">
        <f>674.18</f>
        <v>674.18</v>
      </c>
      <c r="D68" s="77">
        <f>979.86</f>
        <v>979.86</v>
      </c>
      <c r="E68" s="77">
        <f>733.42</f>
        <v>733.42</v>
      </c>
      <c r="F68" s="77">
        <f>652.5</f>
        <v>652.5</v>
      </c>
      <c r="G68" s="77">
        <f>698.69</f>
        <v>698.69</v>
      </c>
      <c r="H68" s="77">
        <f>743.79</f>
        <v>743.79</v>
      </c>
      <c r="I68" s="77">
        <f>854.29</f>
        <v>854.29</v>
      </c>
      <c r="J68" s="77">
        <f>1135.32</f>
        <v>1135.32</v>
      </c>
      <c r="K68" s="76"/>
      <c r="L68" s="76"/>
      <c r="M68" s="76"/>
      <c r="N68" s="76"/>
      <c r="O68" s="77">
        <f t="shared" si="14"/>
        <v>6472.05</v>
      </c>
    </row>
    <row r="69" spans="1:15" x14ac:dyDescent="0.3">
      <c r="A69" s="71">
        <f t="shared" si="0"/>
        <v>6060</v>
      </c>
      <c r="B69" s="75" t="s">
        <v>259</v>
      </c>
      <c r="C69" s="77">
        <f>37.09</f>
        <v>37.090000000000003</v>
      </c>
      <c r="D69" s="77">
        <f>1236.93</f>
        <v>1236.93</v>
      </c>
      <c r="E69" s="76"/>
      <c r="F69" s="76"/>
      <c r="G69" s="76"/>
      <c r="H69" s="77">
        <f>160.16</f>
        <v>160.16</v>
      </c>
      <c r="I69" s="76"/>
      <c r="J69" s="76"/>
      <c r="K69" s="76"/>
      <c r="L69" s="76"/>
      <c r="M69" s="76"/>
      <c r="N69" s="76"/>
      <c r="O69" s="77">
        <f t="shared" si="14"/>
        <v>1434.18</v>
      </c>
    </row>
    <row r="70" spans="1:15" x14ac:dyDescent="0.3">
      <c r="A70" s="71">
        <f t="shared" si="0"/>
        <v>6061</v>
      </c>
      <c r="B70" s="75" t="s">
        <v>260</v>
      </c>
      <c r="C70" s="77">
        <f>36.2</f>
        <v>36.200000000000003</v>
      </c>
      <c r="D70" s="77">
        <f>659.19</f>
        <v>659.19</v>
      </c>
      <c r="E70" s="77">
        <f>638.05</f>
        <v>638.04999999999995</v>
      </c>
      <c r="F70" s="76"/>
      <c r="G70" s="77">
        <f>730.87</f>
        <v>730.87</v>
      </c>
      <c r="H70" s="77">
        <f>38.03</f>
        <v>38.03</v>
      </c>
      <c r="I70" s="77">
        <f>854.19</f>
        <v>854.19</v>
      </c>
      <c r="J70" s="77">
        <f>7.14</f>
        <v>7.14</v>
      </c>
      <c r="K70" s="77">
        <f>932.96</f>
        <v>932.96</v>
      </c>
      <c r="L70" s="76"/>
      <c r="M70" s="76"/>
      <c r="N70" s="76"/>
      <c r="O70" s="77">
        <f t="shared" si="14"/>
        <v>3896.63</v>
      </c>
    </row>
    <row r="71" spans="1:15" x14ac:dyDescent="0.3">
      <c r="A71" s="71">
        <f t="shared" ref="A71:A134" si="16">IF(ISNUMBER(VALUE(LEFT(TRIM(B71),5))),VALUE(LEFT(TRIM(B71),4)),TRIM(B71))</f>
        <v>6063</v>
      </c>
      <c r="B71" s="75" t="s">
        <v>261</v>
      </c>
      <c r="C71" s="76"/>
      <c r="D71" s="76"/>
      <c r="E71" s="77">
        <f>96.26</f>
        <v>96.26</v>
      </c>
      <c r="F71" s="76"/>
      <c r="G71" s="76"/>
      <c r="H71" s="76"/>
      <c r="I71" s="76"/>
      <c r="J71" s="76"/>
      <c r="K71" s="76"/>
      <c r="L71" s="76"/>
      <c r="M71" s="76"/>
      <c r="N71" s="76"/>
      <c r="O71" s="77">
        <f t="shared" si="14"/>
        <v>96.26</v>
      </c>
    </row>
    <row r="72" spans="1:15" x14ac:dyDescent="0.3">
      <c r="A72" s="71">
        <f t="shared" si="16"/>
        <v>6065</v>
      </c>
      <c r="B72" s="75" t="s">
        <v>262</v>
      </c>
      <c r="C72" s="77">
        <f>63.93</f>
        <v>63.93</v>
      </c>
      <c r="D72" s="77">
        <f>55.69</f>
        <v>55.69</v>
      </c>
      <c r="E72" s="77">
        <f>199.39</f>
        <v>199.39</v>
      </c>
      <c r="F72" s="77">
        <f>276.44</f>
        <v>276.44</v>
      </c>
      <c r="G72" s="77">
        <f>228.77</f>
        <v>228.77</v>
      </c>
      <c r="H72" s="77">
        <f>152.55</f>
        <v>152.55000000000001</v>
      </c>
      <c r="I72" s="77">
        <f>13.99</f>
        <v>13.99</v>
      </c>
      <c r="J72" s="77">
        <f>13.99</f>
        <v>13.99</v>
      </c>
      <c r="K72" s="76"/>
      <c r="L72" s="76"/>
      <c r="M72" s="76"/>
      <c r="N72" s="76"/>
      <c r="O72" s="77">
        <f t="shared" si="14"/>
        <v>1004.75</v>
      </c>
    </row>
    <row r="73" spans="1:15" x14ac:dyDescent="0.3">
      <c r="A73" s="71">
        <f t="shared" si="16"/>
        <v>6066</v>
      </c>
      <c r="B73" s="75" t="s">
        <v>263</v>
      </c>
      <c r="C73" s="76"/>
      <c r="D73" s="76"/>
      <c r="E73" s="77">
        <f>481</f>
        <v>481</v>
      </c>
      <c r="F73" s="76"/>
      <c r="G73" s="76"/>
      <c r="H73" s="77">
        <f>616</f>
        <v>616</v>
      </c>
      <c r="I73" s="76"/>
      <c r="J73" s="76"/>
      <c r="K73" s="76"/>
      <c r="L73" s="76"/>
      <c r="M73" s="76"/>
      <c r="N73" s="76"/>
      <c r="O73" s="77">
        <f t="shared" si="14"/>
        <v>1097</v>
      </c>
    </row>
    <row r="74" spans="1:15" x14ac:dyDescent="0.3">
      <c r="A74" s="71" t="str">
        <f t="shared" si="16"/>
        <v>Total 115 Room</v>
      </c>
      <c r="B74" s="75" t="s">
        <v>264</v>
      </c>
      <c r="C74" s="78">
        <f t="shared" ref="C74:N74" si="17">((((((C67)+(C68))+(C69))+(C70))+(C71))+(C72))+(C73)</f>
        <v>811.4</v>
      </c>
      <c r="D74" s="78">
        <f t="shared" si="17"/>
        <v>2931.67</v>
      </c>
      <c r="E74" s="78">
        <f t="shared" si="17"/>
        <v>2148.12</v>
      </c>
      <c r="F74" s="78">
        <f t="shared" si="17"/>
        <v>928.94</v>
      </c>
      <c r="G74" s="78">
        <f t="shared" si="17"/>
        <v>1658.33</v>
      </c>
      <c r="H74" s="78">
        <f t="shared" si="17"/>
        <v>1710.53</v>
      </c>
      <c r="I74" s="78">
        <f t="shared" si="17"/>
        <v>1722.47</v>
      </c>
      <c r="J74" s="78">
        <f t="shared" si="17"/>
        <v>1156.45</v>
      </c>
      <c r="K74" s="78">
        <f t="shared" si="17"/>
        <v>932.96</v>
      </c>
      <c r="L74" s="78">
        <f t="shared" si="17"/>
        <v>0</v>
      </c>
      <c r="M74" s="78">
        <f t="shared" si="17"/>
        <v>0</v>
      </c>
      <c r="N74" s="78">
        <f t="shared" si="17"/>
        <v>0</v>
      </c>
      <c r="O74" s="78">
        <f t="shared" si="14"/>
        <v>14000.870000000003</v>
      </c>
    </row>
    <row r="75" spans="1:15" x14ac:dyDescent="0.3">
      <c r="A75" s="71" t="str">
        <f t="shared" si="16"/>
        <v>120 Automobile</v>
      </c>
      <c r="B75" s="75" t="s">
        <v>265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>
        <f t="shared" si="14"/>
        <v>0</v>
      </c>
    </row>
    <row r="76" spans="1:15" x14ac:dyDescent="0.3">
      <c r="A76" s="71">
        <f t="shared" si="16"/>
        <v>6312</v>
      </c>
      <c r="B76" s="75" t="s">
        <v>266</v>
      </c>
      <c r="C76" s="77">
        <f>132.55</f>
        <v>132.55000000000001</v>
      </c>
      <c r="D76" s="77">
        <f>305.01</f>
        <v>305.01</v>
      </c>
      <c r="E76" s="77">
        <f>156.71</f>
        <v>156.71</v>
      </c>
      <c r="F76" s="77">
        <f>99.91</f>
        <v>99.91</v>
      </c>
      <c r="G76" s="77">
        <f>115.6</f>
        <v>115.6</v>
      </c>
      <c r="H76" s="77">
        <f>179</f>
        <v>179</v>
      </c>
      <c r="I76" s="77">
        <f>181.82</f>
        <v>181.82</v>
      </c>
      <c r="J76" s="77">
        <f>145.61</f>
        <v>145.61000000000001</v>
      </c>
      <c r="K76" s="76"/>
      <c r="L76" s="76"/>
      <c r="M76" s="76"/>
      <c r="N76" s="76"/>
      <c r="O76" s="77">
        <f t="shared" si="14"/>
        <v>1316.21</v>
      </c>
    </row>
    <row r="77" spans="1:15" x14ac:dyDescent="0.3">
      <c r="A77" s="71">
        <f t="shared" si="16"/>
        <v>6313</v>
      </c>
      <c r="B77" s="75" t="s">
        <v>267</v>
      </c>
      <c r="C77" s="77">
        <f>249.59</f>
        <v>249.59</v>
      </c>
      <c r="D77" s="77">
        <f>24.03</f>
        <v>24.03</v>
      </c>
      <c r="E77" s="76"/>
      <c r="F77" s="77">
        <f>873.3</f>
        <v>873.3</v>
      </c>
      <c r="G77" s="77">
        <f>302.07</f>
        <v>302.07</v>
      </c>
      <c r="H77" s="77">
        <f>120.95</f>
        <v>120.95</v>
      </c>
      <c r="I77" s="77">
        <f>39.99</f>
        <v>39.99</v>
      </c>
      <c r="J77" s="77">
        <f>39.99</f>
        <v>39.99</v>
      </c>
      <c r="K77" s="76"/>
      <c r="L77" s="76"/>
      <c r="M77" s="76"/>
      <c r="N77" s="76"/>
      <c r="O77" s="77">
        <f t="shared" si="14"/>
        <v>1649.92</v>
      </c>
    </row>
    <row r="78" spans="1:15" x14ac:dyDescent="0.3">
      <c r="A78" s="71">
        <f t="shared" si="16"/>
        <v>6314</v>
      </c>
      <c r="B78" s="75" t="s">
        <v>268</v>
      </c>
      <c r="C78" s="77">
        <f>461.84</f>
        <v>461.84</v>
      </c>
      <c r="D78" s="77">
        <f>2077.01</f>
        <v>2077.0100000000002</v>
      </c>
      <c r="E78" s="77">
        <f>281.34</f>
        <v>281.33999999999997</v>
      </c>
      <c r="F78" s="77">
        <f>287.11</f>
        <v>287.11</v>
      </c>
      <c r="G78" s="77">
        <f>248.56</f>
        <v>248.56</v>
      </c>
      <c r="H78" s="77">
        <f>248.56</f>
        <v>248.56</v>
      </c>
      <c r="I78" s="77">
        <f>248.56</f>
        <v>248.56</v>
      </c>
      <c r="J78" s="77">
        <f>122</f>
        <v>122</v>
      </c>
      <c r="K78" s="76"/>
      <c r="L78" s="76"/>
      <c r="M78" s="76"/>
      <c r="N78" s="76"/>
      <c r="O78" s="77">
        <f t="shared" si="14"/>
        <v>3974.9800000000005</v>
      </c>
    </row>
    <row r="79" spans="1:15" x14ac:dyDescent="0.3">
      <c r="A79" s="71" t="str">
        <f t="shared" si="16"/>
        <v>Total 120 Automobile</v>
      </c>
      <c r="B79" s="75" t="s">
        <v>269</v>
      </c>
      <c r="C79" s="78">
        <f t="shared" ref="C79:N79" si="18">(((C75)+(C76))+(C77))+(C78)</f>
        <v>843.98</v>
      </c>
      <c r="D79" s="78">
        <f t="shared" si="18"/>
        <v>2406.0500000000002</v>
      </c>
      <c r="E79" s="78">
        <f t="shared" si="18"/>
        <v>438.04999999999995</v>
      </c>
      <c r="F79" s="78">
        <f t="shared" si="18"/>
        <v>1260.32</v>
      </c>
      <c r="G79" s="78">
        <f t="shared" si="18"/>
        <v>666.23</v>
      </c>
      <c r="H79" s="78">
        <f t="shared" si="18"/>
        <v>548.51</v>
      </c>
      <c r="I79" s="78">
        <f t="shared" si="18"/>
        <v>470.37</v>
      </c>
      <c r="J79" s="78">
        <f t="shared" si="18"/>
        <v>307.60000000000002</v>
      </c>
      <c r="K79" s="78">
        <f t="shared" si="18"/>
        <v>0</v>
      </c>
      <c r="L79" s="78">
        <f t="shared" si="18"/>
        <v>0</v>
      </c>
      <c r="M79" s="78">
        <f t="shared" si="18"/>
        <v>0</v>
      </c>
      <c r="N79" s="78">
        <f t="shared" si="18"/>
        <v>0</v>
      </c>
      <c r="O79" s="78">
        <f t="shared" si="14"/>
        <v>6941.11</v>
      </c>
    </row>
    <row r="80" spans="1:15" x14ac:dyDescent="0.3">
      <c r="A80" s="71" t="str">
        <f t="shared" si="16"/>
        <v>125 Travel</v>
      </c>
      <c r="B80" s="75" t="s">
        <v>381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7">
        <f t="shared" si="14"/>
        <v>0</v>
      </c>
    </row>
    <row r="81" spans="1:15" x14ac:dyDescent="0.3">
      <c r="A81" s="71">
        <f t="shared" si="16"/>
        <v>6322</v>
      </c>
      <c r="B81" s="75" t="s">
        <v>382</v>
      </c>
      <c r="C81" s="76"/>
      <c r="D81" s="76"/>
      <c r="E81" s="76"/>
      <c r="F81" s="76"/>
      <c r="G81" s="77">
        <f>0</f>
        <v>0</v>
      </c>
      <c r="H81" s="76"/>
      <c r="I81" s="76"/>
      <c r="J81" s="76"/>
      <c r="K81" s="76"/>
      <c r="L81" s="76"/>
      <c r="M81" s="76"/>
      <c r="N81" s="76"/>
      <c r="O81" s="77">
        <f t="shared" si="14"/>
        <v>0</v>
      </c>
    </row>
    <row r="82" spans="1:15" x14ac:dyDescent="0.3">
      <c r="A82" s="71" t="str">
        <f t="shared" si="16"/>
        <v>Total 125 Travel</v>
      </c>
      <c r="B82" s="75" t="s">
        <v>383</v>
      </c>
      <c r="C82" s="78">
        <f t="shared" ref="C82:N82" si="19">(C80)+(C81)</f>
        <v>0</v>
      </c>
      <c r="D82" s="78">
        <f t="shared" si="19"/>
        <v>0</v>
      </c>
      <c r="E82" s="78">
        <f t="shared" si="19"/>
        <v>0</v>
      </c>
      <c r="F82" s="78">
        <f t="shared" si="19"/>
        <v>0</v>
      </c>
      <c r="G82" s="78">
        <f t="shared" si="19"/>
        <v>0</v>
      </c>
      <c r="H82" s="78">
        <f t="shared" si="19"/>
        <v>0</v>
      </c>
      <c r="I82" s="78">
        <f t="shared" si="19"/>
        <v>0</v>
      </c>
      <c r="J82" s="78">
        <f t="shared" si="19"/>
        <v>0</v>
      </c>
      <c r="K82" s="78">
        <f t="shared" si="19"/>
        <v>0</v>
      </c>
      <c r="L82" s="78">
        <f t="shared" si="19"/>
        <v>0</v>
      </c>
      <c r="M82" s="78">
        <f t="shared" si="19"/>
        <v>0</v>
      </c>
      <c r="N82" s="78">
        <f t="shared" si="19"/>
        <v>0</v>
      </c>
      <c r="O82" s="78">
        <f t="shared" si="14"/>
        <v>0</v>
      </c>
    </row>
    <row r="83" spans="1:15" x14ac:dyDescent="0.3">
      <c r="A83" s="71" t="str">
        <f t="shared" si="16"/>
        <v>130 Maintenance Interior</v>
      </c>
      <c r="B83" s="75" t="s">
        <v>270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7">
        <f t="shared" si="14"/>
        <v>0</v>
      </c>
    </row>
    <row r="84" spans="1:15" x14ac:dyDescent="0.3">
      <c r="A84" s="71">
        <f t="shared" si="16"/>
        <v>6411</v>
      </c>
      <c r="B84" s="75" t="s">
        <v>271</v>
      </c>
      <c r="C84" s="77">
        <f>948.87</f>
        <v>948.87</v>
      </c>
      <c r="D84" s="77">
        <f>10.35</f>
        <v>10.35</v>
      </c>
      <c r="E84" s="77">
        <f>1373.53</f>
        <v>1373.53</v>
      </c>
      <c r="F84" s="77">
        <f>178.38</f>
        <v>178.38</v>
      </c>
      <c r="G84" s="77">
        <f>248.31</f>
        <v>248.31</v>
      </c>
      <c r="H84" s="77">
        <f>870.34</f>
        <v>870.34</v>
      </c>
      <c r="I84" s="77">
        <f>180.99</f>
        <v>180.99</v>
      </c>
      <c r="J84" s="77">
        <f>499.95</f>
        <v>499.95</v>
      </c>
      <c r="K84" s="76"/>
      <c r="L84" s="76"/>
      <c r="M84" s="76"/>
      <c r="N84" s="76"/>
      <c r="O84" s="77">
        <f t="shared" si="14"/>
        <v>4310.72</v>
      </c>
    </row>
    <row r="85" spans="1:15" x14ac:dyDescent="0.3">
      <c r="A85" s="71">
        <f t="shared" si="16"/>
        <v>6412</v>
      </c>
      <c r="B85" s="75" t="s">
        <v>272</v>
      </c>
      <c r="C85" s="76"/>
      <c r="D85" s="77">
        <f>8.96</f>
        <v>8.9600000000000009</v>
      </c>
      <c r="E85" s="77">
        <f>25.05</f>
        <v>25.05</v>
      </c>
      <c r="F85" s="77">
        <f>179.57</f>
        <v>179.57</v>
      </c>
      <c r="G85" s="77">
        <f>59.73</f>
        <v>59.73</v>
      </c>
      <c r="H85" s="76"/>
      <c r="I85" s="76"/>
      <c r="J85" s="76"/>
      <c r="K85" s="76"/>
      <c r="L85" s="76"/>
      <c r="M85" s="76"/>
      <c r="N85" s="76"/>
      <c r="O85" s="77">
        <f t="shared" si="14"/>
        <v>273.31</v>
      </c>
    </row>
    <row r="86" spans="1:15" x14ac:dyDescent="0.3">
      <c r="A86" s="71">
        <f t="shared" si="16"/>
        <v>6413</v>
      </c>
      <c r="B86" s="75" t="s">
        <v>273</v>
      </c>
      <c r="C86" s="77">
        <f>901.25</f>
        <v>901.25</v>
      </c>
      <c r="D86" s="76"/>
      <c r="E86" s="77">
        <f>347.5</f>
        <v>347.5</v>
      </c>
      <c r="F86" s="77">
        <f>3851.25</f>
        <v>3851.25</v>
      </c>
      <c r="G86" s="77">
        <f>624.69</f>
        <v>624.69000000000005</v>
      </c>
      <c r="H86" s="76"/>
      <c r="I86" s="77">
        <f>5804.22</f>
        <v>5804.22</v>
      </c>
      <c r="J86" s="77">
        <f>1123.2</f>
        <v>1123.2</v>
      </c>
      <c r="K86" s="76"/>
      <c r="L86" s="76"/>
      <c r="M86" s="76"/>
      <c r="N86" s="76"/>
      <c r="O86" s="77">
        <f t="shared" si="14"/>
        <v>12652.11</v>
      </c>
    </row>
    <row r="87" spans="1:15" x14ac:dyDescent="0.3">
      <c r="A87" s="71">
        <f t="shared" si="16"/>
        <v>6420</v>
      </c>
      <c r="B87" s="75" t="s">
        <v>275</v>
      </c>
      <c r="C87" s="77">
        <f>921.96</f>
        <v>921.96</v>
      </c>
      <c r="D87" s="76"/>
      <c r="E87" s="76"/>
      <c r="F87" s="76"/>
      <c r="G87" s="77">
        <f>52.37</f>
        <v>52.37</v>
      </c>
      <c r="H87" s="76"/>
      <c r="I87" s="77">
        <f>310.42</f>
        <v>310.42</v>
      </c>
      <c r="J87" s="77">
        <f>385</f>
        <v>385</v>
      </c>
      <c r="K87" s="77">
        <f>109.74</f>
        <v>109.74</v>
      </c>
      <c r="L87" s="76"/>
      <c r="M87" s="76"/>
      <c r="N87" s="76"/>
      <c r="O87" s="77">
        <f t="shared" si="14"/>
        <v>1779.49</v>
      </c>
    </row>
    <row r="88" spans="1:15" x14ac:dyDescent="0.3">
      <c r="A88" s="71">
        <f t="shared" si="16"/>
        <v>6421</v>
      </c>
      <c r="B88" s="75" t="s">
        <v>276</v>
      </c>
      <c r="C88" s="77">
        <f>112.45</f>
        <v>112.45</v>
      </c>
      <c r="D88" s="77">
        <f>176.37</f>
        <v>176.37</v>
      </c>
      <c r="E88" s="77">
        <f>426.13</f>
        <v>426.13</v>
      </c>
      <c r="F88" s="77">
        <f>156.27</f>
        <v>156.27000000000001</v>
      </c>
      <c r="G88" s="77">
        <f>16.86</f>
        <v>16.86</v>
      </c>
      <c r="H88" s="77">
        <f>187.98</f>
        <v>187.98</v>
      </c>
      <c r="I88" s="76"/>
      <c r="J88" s="77">
        <f>300.92</f>
        <v>300.92</v>
      </c>
      <c r="K88" s="76"/>
      <c r="L88" s="76"/>
      <c r="M88" s="76"/>
      <c r="N88" s="76"/>
      <c r="O88" s="77">
        <f t="shared" si="14"/>
        <v>1376.98</v>
      </c>
    </row>
    <row r="89" spans="1:15" x14ac:dyDescent="0.3">
      <c r="A89" s="71">
        <f t="shared" si="16"/>
        <v>6422</v>
      </c>
      <c r="B89" s="75" t="s">
        <v>384</v>
      </c>
      <c r="C89" s="76"/>
      <c r="D89" s="77">
        <f>818.6</f>
        <v>818.6</v>
      </c>
      <c r="E89" s="76"/>
      <c r="F89" s="77">
        <f>70.24</f>
        <v>70.239999999999995</v>
      </c>
      <c r="G89" s="77">
        <f>944.28</f>
        <v>944.28</v>
      </c>
      <c r="H89" s="77">
        <f>26.29</f>
        <v>26.29</v>
      </c>
      <c r="I89" s="77">
        <f>442.89</f>
        <v>442.89</v>
      </c>
      <c r="J89" s="76"/>
      <c r="K89" s="76"/>
      <c r="L89" s="76"/>
      <c r="M89" s="76"/>
      <c r="N89" s="76"/>
      <c r="O89" s="77">
        <f t="shared" si="14"/>
        <v>2302.2999999999997</v>
      </c>
    </row>
    <row r="90" spans="1:15" x14ac:dyDescent="0.3">
      <c r="A90" s="71">
        <f t="shared" si="16"/>
        <v>6423</v>
      </c>
      <c r="B90" s="75" t="s">
        <v>277</v>
      </c>
      <c r="C90" s="76"/>
      <c r="D90" s="76"/>
      <c r="E90" s="77">
        <f>998</f>
        <v>998</v>
      </c>
      <c r="F90" s="76"/>
      <c r="G90" s="77">
        <f>458.97</f>
        <v>458.97</v>
      </c>
      <c r="H90" s="76"/>
      <c r="I90" s="76"/>
      <c r="J90" s="76"/>
      <c r="K90" s="76"/>
      <c r="L90" s="76"/>
      <c r="M90" s="76"/>
      <c r="N90" s="76"/>
      <c r="O90" s="77">
        <f t="shared" si="14"/>
        <v>1456.97</v>
      </c>
    </row>
    <row r="91" spans="1:15" x14ac:dyDescent="0.3">
      <c r="A91" s="71">
        <f t="shared" si="16"/>
        <v>6424</v>
      </c>
      <c r="B91" s="75" t="s">
        <v>278</v>
      </c>
      <c r="C91" s="76"/>
      <c r="D91" s="76"/>
      <c r="E91" s="76"/>
      <c r="F91" s="76"/>
      <c r="G91" s="76"/>
      <c r="H91" s="76"/>
      <c r="I91" s="77">
        <f>121.73</f>
        <v>121.73</v>
      </c>
      <c r="J91" s="76"/>
      <c r="K91" s="76"/>
      <c r="L91" s="76"/>
      <c r="M91" s="76"/>
      <c r="N91" s="76"/>
      <c r="O91" s="77">
        <f t="shared" si="14"/>
        <v>121.73</v>
      </c>
    </row>
    <row r="92" spans="1:15" x14ac:dyDescent="0.3">
      <c r="A92" s="71">
        <f t="shared" si="16"/>
        <v>6425</v>
      </c>
      <c r="B92" s="75" t="s">
        <v>279</v>
      </c>
      <c r="C92" s="76"/>
      <c r="D92" s="77">
        <f>150</f>
        <v>150</v>
      </c>
      <c r="E92" s="77">
        <f>389</f>
        <v>389</v>
      </c>
      <c r="F92" s="77">
        <f>50</f>
        <v>50</v>
      </c>
      <c r="G92" s="76"/>
      <c r="H92" s="77">
        <f>150</f>
        <v>150</v>
      </c>
      <c r="I92" s="76"/>
      <c r="J92" s="77">
        <f>276.75</f>
        <v>276.75</v>
      </c>
      <c r="K92" s="76"/>
      <c r="L92" s="76"/>
      <c r="M92" s="76"/>
      <c r="N92" s="76"/>
      <c r="O92" s="77">
        <f t="shared" si="14"/>
        <v>1015.75</v>
      </c>
    </row>
    <row r="93" spans="1:15" x14ac:dyDescent="0.3">
      <c r="A93" s="71" t="str">
        <f t="shared" si="16"/>
        <v>Total 130 Maintenance Interior</v>
      </c>
      <c r="B93" s="75" t="s">
        <v>280</v>
      </c>
      <c r="C93" s="78">
        <f t="shared" ref="C93:N93" si="20">(((((((((C83)+(C84))+(C85))+(C86))+(C87))+(C88))+(C89))+(C90))+(C91))+(C92)</f>
        <v>2884.5299999999997</v>
      </c>
      <c r="D93" s="78">
        <f t="shared" si="20"/>
        <v>1164.28</v>
      </c>
      <c r="E93" s="78">
        <f t="shared" si="20"/>
        <v>3559.21</v>
      </c>
      <c r="F93" s="78">
        <f t="shared" si="20"/>
        <v>4485.71</v>
      </c>
      <c r="G93" s="78">
        <f t="shared" si="20"/>
        <v>2405.21</v>
      </c>
      <c r="H93" s="78">
        <f t="shared" si="20"/>
        <v>1234.6099999999999</v>
      </c>
      <c r="I93" s="78">
        <f t="shared" si="20"/>
        <v>6860.25</v>
      </c>
      <c r="J93" s="78">
        <f t="shared" si="20"/>
        <v>2585.8200000000002</v>
      </c>
      <c r="K93" s="78">
        <f t="shared" si="20"/>
        <v>109.74</v>
      </c>
      <c r="L93" s="78">
        <f t="shared" si="20"/>
        <v>0</v>
      </c>
      <c r="M93" s="78">
        <f t="shared" si="20"/>
        <v>0</v>
      </c>
      <c r="N93" s="78">
        <f t="shared" si="20"/>
        <v>0</v>
      </c>
      <c r="O93" s="78">
        <f t="shared" si="14"/>
        <v>25289.360000000001</v>
      </c>
    </row>
    <row r="94" spans="1:15" x14ac:dyDescent="0.3">
      <c r="A94" s="71" t="str">
        <f t="shared" si="16"/>
        <v>135 Maintenance Exterior</v>
      </c>
      <c r="B94" s="75" t="s">
        <v>281</v>
      </c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7">
        <f t="shared" si="14"/>
        <v>0</v>
      </c>
    </row>
    <row r="95" spans="1:15" x14ac:dyDescent="0.3">
      <c r="A95" s="71">
        <f t="shared" si="16"/>
        <v>6431</v>
      </c>
      <c r="B95" s="75" t="s">
        <v>282</v>
      </c>
      <c r="C95" s="76"/>
      <c r="D95" s="77">
        <f>415</f>
        <v>415</v>
      </c>
      <c r="E95" s="77">
        <f>23.99</f>
        <v>23.99</v>
      </c>
      <c r="F95" s="77">
        <f>166.25</f>
        <v>166.25</v>
      </c>
      <c r="G95" s="76"/>
      <c r="H95" s="76"/>
      <c r="I95" s="76"/>
      <c r="J95" s="76"/>
      <c r="K95" s="76"/>
      <c r="L95" s="76"/>
      <c r="M95" s="76"/>
      <c r="N95" s="76"/>
      <c r="O95" s="77">
        <f t="shared" si="14"/>
        <v>605.24</v>
      </c>
    </row>
    <row r="96" spans="1:15" x14ac:dyDescent="0.3">
      <c r="A96" s="71">
        <f t="shared" si="16"/>
        <v>6432</v>
      </c>
      <c r="B96" s="75" t="s">
        <v>283</v>
      </c>
      <c r="C96" s="77">
        <f>61.06</f>
        <v>61.06</v>
      </c>
      <c r="D96" s="77">
        <f>11.7</f>
        <v>11.7</v>
      </c>
      <c r="E96" s="77">
        <f>85.71</f>
        <v>85.71</v>
      </c>
      <c r="F96" s="77">
        <f>2344.83</f>
        <v>2344.83</v>
      </c>
      <c r="G96" s="77">
        <f>66.22</f>
        <v>66.22</v>
      </c>
      <c r="H96" s="77">
        <f>26.98</f>
        <v>26.98</v>
      </c>
      <c r="I96" s="76"/>
      <c r="J96" s="77">
        <f>59.09</f>
        <v>59.09</v>
      </c>
      <c r="K96" s="76"/>
      <c r="L96" s="76"/>
      <c r="M96" s="76"/>
      <c r="N96" s="76"/>
      <c r="O96" s="77">
        <f t="shared" si="14"/>
        <v>2655.5899999999997</v>
      </c>
    </row>
    <row r="97" spans="1:15" x14ac:dyDescent="0.3">
      <c r="A97" s="71">
        <f t="shared" si="16"/>
        <v>6434</v>
      </c>
      <c r="B97" s="75" t="s">
        <v>284</v>
      </c>
      <c r="C97" s="76"/>
      <c r="D97" s="77">
        <f>1619.99</f>
        <v>1619.99</v>
      </c>
      <c r="E97" s="77">
        <f>31.81</f>
        <v>31.81</v>
      </c>
      <c r="F97" s="77">
        <f>416.18</f>
        <v>416.18</v>
      </c>
      <c r="G97" s="77">
        <f>135.37</f>
        <v>135.37</v>
      </c>
      <c r="H97" s="77">
        <f>412.5</f>
        <v>412.5</v>
      </c>
      <c r="I97" s="76"/>
      <c r="J97" s="77">
        <f>3831.46</f>
        <v>3831.46</v>
      </c>
      <c r="K97" s="77">
        <f>3429</f>
        <v>3429</v>
      </c>
      <c r="L97" s="76"/>
      <c r="M97" s="76"/>
      <c r="N97" s="76"/>
      <c r="O97" s="77">
        <f t="shared" si="14"/>
        <v>9876.31</v>
      </c>
    </row>
    <row r="98" spans="1:15" x14ac:dyDescent="0.3">
      <c r="A98" s="71">
        <f t="shared" si="16"/>
        <v>6436</v>
      </c>
      <c r="B98" s="75" t="s">
        <v>286</v>
      </c>
      <c r="C98" s="77">
        <f>329.73</f>
        <v>329.73</v>
      </c>
      <c r="D98" s="77">
        <f>233.13</f>
        <v>233.13</v>
      </c>
      <c r="E98" s="77">
        <f>402.38</f>
        <v>402.38</v>
      </c>
      <c r="F98" s="77">
        <f>270.8</f>
        <v>270.8</v>
      </c>
      <c r="G98" s="77">
        <f>231.55</f>
        <v>231.55</v>
      </c>
      <c r="H98" s="77">
        <f>234.51</f>
        <v>234.51</v>
      </c>
      <c r="I98" s="77">
        <f>578.62</f>
        <v>578.62</v>
      </c>
      <c r="J98" s="77">
        <f>295.11</f>
        <v>295.11</v>
      </c>
      <c r="K98" s="76"/>
      <c r="L98" s="76"/>
      <c r="M98" s="76"/>
      <c r="N98" s="76"/>
      <c r="O98" s="77">
        <f t="shared" si="14"/>
        <v>2575.83</v>
      </c>
    </row>
    <row r="99" spans="1:15" x14ac:dyDescent="0.3">
      <c r="A99" s="71" t="str">
        <f t="shared" si="16"/>
        <v>Total 135 Maintenance Exterior</v>
      </c>
      <c r="B99" s="75" t="s">
        <v>287</v>
      </c>
      <c r="C99" s="78">
        <f t="shared" ref="C99:N99" si="21">((((C94)+(C95))+(C96))+(C97))+(C98)</f>
        <v>390.79</v>
      </c>
      <c r="D99" s="78">
        <f t="shared" si="21"/>
        <v>2279.8200000000002</v>
      </c>
      <c r="E99" s="78">
        <f t="shared" si="21"/>
        <v>543.89</v>
      </c>
      <c r="F99" s="78">
        <f t="shared" si="21"/>
        <v>3198.06</v>
      </c>
      <c r="G99" s="78">
        <f t="shared" si="21"/>
        <v>433.14</v>
      </c>
      <c r="H99" s="78">
        <f t="shared" si="21"/>
        <v>673.99</v>
      </c>
      <c r="I99" s="78">
        <f t="shared" si="21"/>
        <v>578.62</v>
      </c>
      <c r="J99" s="78">
        <f t="shared" si="21"/>
        <v>4185.66</v>
      </c>
      <c r="K99" s="78">
        <f t="shared" si="21"/>
        <v>3429</v>
      </c>
      <c r="L99" s="78">
        <f t="shared" si="21"/>
        <v>0</v>
      </c>
      <c r="M99" s="78">
        <f t="shared" si="21"/>
        <v>0</v>
      </c>
      <c r="N99" s="78">
        <f t="shared" si="21"/>
        <v>0</v>
      </c>
      <c r="O99" s="78">
        <f t="shared" si="14"/>
        <v>15712.97</v>
      </c>
    </row>
    <row r="100" spans="1:15" x14ac:dyDescent="0.3">
      <c r="A100" s="71" t="str">
        <f t="shared" si="16"/>
        <v>140 Utilities &amp; Building Insurance</v>
      </c>
      <c r="B100" s="75" t="s">
        <v>288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7">
        <f t="shared" si="14"/>
        <v>0</v>
      </c>
    </row>
    <row r="101" spans="1:15" x14ac:dyDescent="0.3">
      <c r="A101" s="71">
        <f t="shared" si="16"/>
        <v>6451</v>
      </c>
      <c r="B101" s="75" t="s">
        <v>289</v>
      </c>
      <c r="C101" s="76"/>
      <c r="D101" s="77">
        <f>3914.94</f>
        <v>3914.94</v>
      </c>
      <c r="E101" s="77">
        <f>2876.16</f>
        <v>2876.16</v>
      </c>
      <c r="F101" s="77">
        <f>2181.96</f>
        <v>2181.96</v>
      </c>
      <c r="G101" s="77">
        <f>2007.39</f>
        <v>2007.39</v>
      </c>
      <c r="H101" s="77">
        <f>2106.17</f>
        <v>2106.17</v>
      </c>
      <c r="I101" s="77">
        <f>1929.16</f>
        <v>1929.16</v>
      </c>
      <c r="J101" s="77">
        <f>2166.43</f>
        <v>2166.4299999999998</v>
      </c>
      <c r="K101" s="76"/>
      <c r="L101" s="76"/>
      <c r="M101" s="76"/>
      <c r="N101" s="76"/>
      <c r="O101" s="77">
        <f t="shared" si="14"/>
        <v>17182.21</v>
      </c>
    </row>
    <row r="102" spans="1:15" x14ac:dyDescent="0.3">
      <c r="A102" s="71">
        <f t="shared" si="16"/>
        <v>6452</v>
      </c>
      <c r="B102" s="75" t="s">
        <v>290</v>
      </c>
      <c r="C102" s="77">
        <f>32.13</f>
        <v>32.130000000000003</v>
      </c>
      <c r="D102" s="77">
        <f>1040.68</f>
        <v>1040.68</v>
      </c>
      <c r="E102" s="77">
        <f>373.64</f>
        <v>373.64</v>
      </c>
      <c r="F102" s="77">
        <f>1079</f>
        <v>1079</v>
      </c>
      <c r="G102" s="77">
        <f>992.67</f>
        <v>992.67</v>
      </c>
      <c r="H102" s="77">
        <f>3202.36</f>
        <v>3202.36</v>
      </c>
      <c r="I102" s="77">
        <f>4536.46</f>
        <v>4536.46</v>
      </c>
      <c r="J102" s="77">
        <f>5327.46</f>
        <v>5327.46</v>
      </c>
      <c r="K102" s="76"/>
      <c r="L102" s="76"/>
      <c r="M102" s="76"/>
      <c r="N102" s="76"/>
      <c r="O102" s="77">
        <f t="shared" si="14"/>
        <v>16584.400000000001</v>
      </c>
    </row>
    <row r="103" spans="1:15" x14ac:dyDescent="0.3">
      <c r="A103" s="71">
        <f t="shared" si="16"/>
        <v>6453</v>
      </c>
      <c r="B103" s="75" t="s">
        <v>291</v>
      </c>
      <c r="C103" s="77">
        <f>2499.57</f>
        <v>2499.5700000000002</v>
      </c>
      <c r="D103" s="77">
        <f>2620.21</f>
        <v>2620.21</v>
      </c>
      <c r="E103" s="77">
        <f>2685.45</f>
        <v>2685.45</v>
      </c>
      <c r="F103" s="77">
        <f>2268.97</f>
        <v>2268.9699999999998</v>
      </c>
      <c r="G103" s="77">
        <f>2278.86</f>
        <v>2278.86</v>
      </c>
      <c r="H103" s="77">
        <f>4675.41</f>
        <v>4675.41</v>
      </c>
      <c r="I103" s="77">
        <f>2075.81</f>
        <v>2075.81</v>
      </c>
      <c r="J103" s="77">
        <f>2657.56</f>
        <v>2657.56</v>
      </c>
      <c r="K103" s="76"/>
      <c r="L103" s="76"/>
      <c r="M103" s="76"/>
      <c r="N103" s="76"/>
      <c r="O103" s="77">
        <f t="shared" si="14"/>
        <v>21761.840000000004</v>
      </c>
    </row>
    <row r="104" spans="1:15" x14ac:dyDescent="0.3">
      <c r="A104" s="71">
        <f t="shared" si="16"/>
        <v>6454</v>
      </c>
      <c r="B104" s="75" t="s">
        <v>292</v>
      </c>
      <c r="C104" s="77">
        <f>1290.31</f>
        <v>1290.31</v>
      </c>
      <c r="D104" s="77">
        <f>1089.87</f>
        <v>1089.8699999999999</v>
      </c>
      <c r="E104" s="77">
        <f>1095.3</f>
        <v>1095.3</v>
      </c>
      <c r="F104" s="77">
        <f>1209.18</f>
        <v>1209.18</v>
      </c>
      <c r="G104" s="77">
        <f>1747.31</f>
        <v>1747.31</v>
      </c>
      <c r="H104" s="77">
        <f>1125.9</f>
        <v>1125.9000000000001</v>
      </c>
      <c r="I104" s="77">
        <f>1081.12</f>
        <v>1081.1199999999999</v>
      </c>
      <c r="J104" s="77">
        <f>863.03</f>
        <v>863.03</v>
      </c>
      <c r="K104" s="77">
        <f>615.96</f>
        <v>615.96</v>
      </c>
      <c r="L104" s="76"/>
      <c r="M104" s="76"/>
      <c r="N104" s="76"/>
      <c r="O104" s="77">
        <f t="shared" si="14"/>
        <v>10117.98</v>
      </c>
    </row>
    <row r="105" spans="1:15" x14ac:dyDescent="0.3">
      <c r="A105" s="71">
        <f t="shared" si="16"/>
        <v>6460</v>
      </c>
      <c r="B105" s="75" t="s">
        <v>293</v>
      </c>
      <c r="C105" s="77">
        <f t="shared" ref="C105:I105" si="22">3146.83</f>
        <v>3146.83</v>
      </c>
      <c r="D105" s="77">
        <f t="shared" si="22"/>
        <v>3146.83</v>
      </c>
      <c r="E105" s="77">
        <f t="shared" si="22"/>
        <v>3146.83</v>
      </c>
      <c r="F105" s="77">
        <f t="shared" si="22"/>
        <v>3146.83</v>
      </c>
      <c r="G105" s="77">
        <f t="shared" si="22"/>
        <v>3146.83</v>
      </c>
      <c r="H105" s="77">
        <f t="shared" si="22"/>
        <v>3146.83</v>
      </c>
      <c r="I105" s="77">
        <f t="shared" si="22"/>
        <v>3146.83</v>
      </c>
      <c r="J105" s="76"/>
      <c r="K105" s="76"/>
      <c r="L105" s="76"/>
      <c r="M105" s="76"/>
      <c r="N105" s="76"/>
      <c r="O105" s="77">
        <f t="shared" si="14"/>
        <v>22027.809999999998</v>
      </c>
    </row>
    <row r="106" spans="1:15" x14ac:dyDescent="0.3">
      <c r="A106" s="71">
        <f t="shared" si="16"/>
        <v>6470</v>
      </c>
      <c r="B106" s="75" t="s">
        <v>294</v>
      </c>
      <c r="C106" s="76"/>
      <c r="D106" s="76"/>
      <c r="E106" s="76"/>
      <c r="F106" s="77">
        <f>-100</f>
        <v>-100</v>
      </c>
      <c r="G106" s="76"/>
      <c r="H106" s="76"/>
      <c r="I106" s="76"/>
      <c r="J106" s="76"/>
      <c r="K106" s="76"/>
      <c r="L106" s="76"/>
      <c r="M106" s="76"/>
      <c r="N106" s="76"/>
      <c r="O106" s="77">
        <f t="shared" si="14"/>
        <v>-100</v>
      </c>
    </row>
    <row r="107" spans="1:15" x14ac:dyDescent="0.3">
      <c r="A107" s="71" t="str">
        <f t="shared" si="16"/>
        <v>Total 140 Utilities &amp; Building Insurance</v>
      </c>
      <c r="B107" s="75" t="s">
        <v>295</v>
      </c>
      <c r="C107" s="78">
        <f t="shared" ref="C107:N107" si="23">((((((C100)+(C101))+(C102))+(C103))+(C104))+(C105))+(C106)</f>
        <v>6968.84</v>
      </c>
      <c r="D107" s="78">
        <f t="shared" si="23"/>
        <v>11812.53</v>
      </c>
      <c r="E107" s="78">
        <f t="shared" si="23"/>
        <v>10177.380000000001</v>
      </c>
      <c r="F107" s="78">
        <f t="shared" si="23"/>
        <v>9785.94</v>
      </c>
      <c r="G107" s="78">
        <f t="shared" si="23"/>
        <v>10173.06</v>
      </c>
      <c r="H107" s="78">
        <f t="shared" si="23"/>
        <v>14256.67</v>
      </c>
      <c r="I107" s="78">
        <f t="shared" si="23"/>
        <v>12769.38</v>
      </c>
      <c r="J107" s="78">
        <f t="shared" si="23"/>
        <v>11014.48</v>
      </c>
      <c r="K107" s="78">
        <f t="shared" si="23"/>
        <v>615.96</v>
      </c>
      <c r="L107" s="78">
        <f t="shared" si="23"/>
        <v>0</v>
      </c>
      <c r="M107" s="78">
        <f t="shared" si="23"/>
        <v>0</v>
      </c>
      <c r="N107" s="78">
        <f t="shared" si="23"/>
        <v>0</v>
      </c>
      <c r="O107" s="78">
        <f t="shared" si="14"/>
        <v>87574.24</v>
      </c>
    </row>
    <row r="108" spans="1:15" x14ac:dyDescent="0.3">
      <c r="A108" s="71" t="str">
        <f t="shared" si="16"/>
        <v>150 Salaries &amp; Benefits</v>
      </c>
      <c r="B108" s="75" t="s">
        <v>296</v>
      </c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7">
        <f t="shared" si="14"/>
        <v>0</v>
      </c>
    </row>
    <row r="109" spans="1:15" x14ac:dyDescent="0.3">
      <c r="A109" s="71" t="str">
        <f t="shared" si="16"/>
        <v>152 Employee Insurance</v>
      </c>
      <c r="B109" s="75" t="s">
        <v>297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7">
        <f t="shared" si="14"/>
        <v>0</v>
      </c>
    </row>
    <row r="110" spans="1:15" x14ac:dyDescent="0.3">
      <c r="A110" s="71">
        <f t="shared" si="16"/>
        <v>6623</v>
      </c>
      <c r="B110" s="75" t="s">
        <v>298</v>
      </c>
      <c r="C110" s="77">
        <f>4740.16</f>
        <v>4740.16</v>
      </c>
      <c r="D110" s="77">
        <f>4740.16</f>
        <v>4740.16</v>
      </c>
      <c r="E110" s="77">
        <f>4740.16</f>
        <v>4740.16</v>
      </c>
      <c r="F110" s="77">
        <f>4733.24</f>
        <v>4733.24</v>
      </c>
      <c r="G110" s="77">
        <f>4740.16</f>
        <v>4740.16</v>
      </c>
      <c r="H110" s="77">
        <f>4740.16</f>
        <v>4740.16</v>
      </c>
      <c r="I110" s="77">
        <f>11923.24</f>
        <v>11923.24</v>
      </c>
      <c r="J110" s="77">
        <f>-13.84</f>
        <v>-13.84</v>
      </c>
      <c r="K110" s="76"/>
      <c r="L110" s="76"/>
      <c r="M110" s="76"/>
      <c r="N110" s="76"/>
      <c r="O110" s="77">
        <f t="shared" si="14"/>
        <v>40343.440000000002</v>
      </c>
    </row>
    <row r="111" spans="1:15" x14ac:dyDescent="0.3">
      <c r="A111" s="71">
        <f t="shared" si="16"/>
        <v>6624</v>
      </c>
      <c r="B111" s="75" t="s">
        <v>299</v>
      </c>
      <c r="C111" s="77">
        <f t="shared" ref="C111:H111" si="24">265.5</f>
        <v>265.5</v>
      </c>
      <c r="D111" s="77">
        <f t="shared" si="24"/>
        <v>265.5</v>
      </c>
      <c r="E111" s="77">
        <f t="shared" si="24"/>
        <v>265.5</v>
      </c>
      <c r="F111" s="77">
        <f t="shared" si="24"/>
        <v>265.5</v>
      </c>
      <c r="G111" s="77">
        <f t="shared" si="24"/>
        <v>265.5</v>
      </c>
      <c r="H111" s="77">
        <f t="shared" si="24"/>
        <v>265.5</v>
      </c>
      <c r="I111" s="77">
        <f>663.75</f>
        <v>663.75</v>
      </c>
      <c r="J111" s="76"/>
      <c r="K111" s="76"/>
      <c r="L111" s="76"/>
      <c r="M111" s="76"/>
      <c r="N111" s="76"/>
      <c r="O111" s="77">
        <f t="shared" si="14"/>
        <v>2256.75</v>
      </c>
    </row>
    <row r="112" spans="1:15" x14ac:dyDescent="0.3">
      <c r="A112" s="71">
        <f t="shared" si="16"/>
        <v>6625</v>
      </c>
      <c r="B112" s="75" t="s">
        <v>300</v>
      </c>
      <c r="C112" s="77">
        <f>130.01</f>
        <v>130.01</v>
      </c>
      <c r="D112" s="77">
        <f>133.09</f>
        <v>133.09</v>
      </c>
      <c r="E112" s="77">
        <f>145.9</f>
        <v>145.9</v>
      </c>
      <c r="F112" s="77">
        <f>107.53</f>
        <v>107.53</v>
      </c>
      <c r="G112" s="77">
        <f>120.49</f>
        <v>120.49</v>
      </c>
      <c r="H112" s="77">
        <f>134.23</f>
        <v>134.22999999999999</v>
      </c>
      <c r="I112" s="77">
        <f>261.31</f>
        <v>261.31</v>
      </c>
      <c r="J112" s="76"/>
      <c r="K112" s="76"/>
      <c r="L112" s="76"/>
      <c r="M112" s="76"/>
      <c r="N112" s="76"/>
      <c r="O112" s="77">
        <f t="shared" si="14"/>
        <v>1032.56</v>
      </c>
    </row>
    <row r="113" spans="1:15" x14ac:dyDescent="0.3">
      <c r="A113" s="71">
        <f t="shared" si="16"/>
        <v>6626</v>
      </c>
      <c r="B113" s="75" t="s">
        <v>301</v>
      </c>
      <c r="C113" s="77">
        <f>123.67</f>
        <v>123.67</v>
      </c>
      <c r="D113" s="77">
        <f>126.75</f>
        <v>126.75</v>
      </c>
      <c r="E113" s="77">
        <f>138.19</f>
        <v>138.19</v>
      </c>
      <c r="F113" s="77">
        <f>99.04</f>
        <v>99.04</v>
      </c>
      <c r="G113" s="77">
        <f>115.31</f>
        <v>115.31</v>
      </c>
      <c r="H113" s="77">
        <f>127.85</f>
        <v>127.85</v>
      </c>
      <c r="I113" s="77">
        <f>264.18</f>
        <v>264.18</v>
      </c>
      <c r="J113" s="77">
        <f>-14.38</f>
        <v>-14.38</v>
      </c>
      <c r="K113" s="76"/>
      <c r="L113" s="76"/>
      <c r="M113" s="76"/>
      <c r="N113" s="76"/>
      <c r="O113" s="77">
        <f t="shared" si="14"/>
        <v>980.61</v>
      </c>
    </row>
    <row r="114" spans="1:15" x14ac:dyDescent="0.3">
      <c r="A114" s="71" t="str">
        <f t="shared" si="16"/>
        <v>Total 152 Employee Insurance</v>
      </c>
      <c r="B114" s="75" t="s">
        <v>302</v>
      </c>
      <c r="C114" s="78">
        <f t="shared" ref="C114:N114" si="25">((((C109)+(C110))+(C111))+(C112))+(C113)</f>
        <v>5259.34</v>
      </c>
      <c r="D114" s="78">
        <f t="shared" si="25"/>
        <v>5265.5</v>
      </c>
      <c r="E114" s="78">
        <f t="shared" si="25"/>
        <v>5289.7499999999991</v>
      </c>
      <c r="F114" s="78">
        <f t="shared" si="25"/>
        <v>5205.3099999999995</v>
      </c>
      <c r="G114" s="78">
        <f t="shared" si="25"/>
        <v>5241.46</v>
      </c>
      <c r="H114" s="78">
        <f t="shared" si="25"/>
        <v>5267.74</v>
      </c>
      <c r="I114" s="78">
        <f t="shared" si="25"/>
        <v>13112.48</v>
      </c>
      <c r="J114" s="78">
        <f t="shared" si="25"/>
        <v>-28.22</v>
      </c>
      <c r="K114" s="78">
        <f t="shared" si="25"/>
        <v>0</v>
      </c>
      <c r="L114" s="78">
        <f t="shared" si="25"/>
        <v>0</v>
      </c>
      <c r="M114" s="78">
        <f t="shared" si="25"/>
        <v>0</v>
      </c>
      <c r="N114" s="78">
        <f t="shared" si="25"/>
        <v>0</v>
      </c>
      <c r="O114" s="78">
        <f t="shared" si="14"/>
        <v>44613.36</v>
      </c>
    </row>
    <row r="115" spans="1:15" x14ac:dyDescent="0.3">
      <c r="A115" s="71" t="str">
        <f t="shared" si="16"/>
        <v>154 Other Compensation &amp; Benefits</v>
      </c>
      <c r="B115" s="75" t="s">
        <v>303</v>
      </c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7">
        <f t="shared" si="14"/>
        <v>0</v>
      </c>
    </row>
    <row r="116" spans="1:15" x14ac:dyDescent="0.3">
      <c r="A116" s="71">
        <f t="shared" si="16"/>
        <v>6646</v>
      </c>
      <c r="B116" s="75" t="s">
        <v>306</v>
      </c>
      <c r="C116" s="76"/>
      <c r="D116" s="76"/>
      <c r="E116" s="77">
        <f>150</f>
        <v>150</v>
      </c>
      <c r="F116" s="77">
        <f>350</f>
        <v>350</v>
      </c>
      <c r="G116" s="77">
        <f>0</f>
        <v>0</v>
      </c>
      <c r="H116" s="77">
        <f>0</f>
        <v>0</v>
      </c>
      <c r="I116" s="77">
        <f>100</f>
        <v>100</v>
      </c>
      <c r="J116" s="76"/>
      <c r="K116" s="76"/>
      <c r="L116" s="76"/>
      <c r="M116" s="76"/>
      <c r="N116" s="76"/>
      <c r="O116" s="77">
        <f t="shared" si="14"/>
        <v>600</v>
      </c>
    </row>
    <row r="117" spans="1:15" x14ac:dyDescent="0.3">
      <c r="A117" s="71" t="str">
        <f t="shared" si="16"/>
        <v>Total 154 Other Compensation &amp; Benefits</v>
      </c>
      <c r="B117" s="75" t="s">
        <v>307</v>
      </c>
      <c r="C117" s="78">
        <f t="shared" ref="C117:N117" si="26">(C115)+(C116)</f>
        <v>0</v>
      </c>
      <c r="D117" s="78">
        <f t="shared" si="26"/>
        <v>0</v>
      </c>
      <c r="E117" s="78">
        <f t="shared" si="26"/>
        <v>150</v>
      </c>
      <c r="F117" s="78">
        <f t="shared" si="26"/>
        <v>350</v>
      </c>
      <c r="G117" s="78">
        <f t="shared" si="26"/>
        <v>0</v>
      </c>
      <c r="H117" s="78">
        <f t="shared" si="26"/>
        <v>0</v>
      </c>
      <c r="I117" s="78">
        <f t="shared" si="26"/>
        <v>100</v>
      </c>
      <c r="J117" s="78">
        <f t="shared" si="26"/>
        <v>0</v>
      </c>
      <c r="K117" s="78">
        <f t="shared" si="26"/>
        <v>0</v>
      </c>
      <c r="L117" s="78">
        <f t="shared" si="26"/>
        <v>0</v>
      </c>
      <c r="M117" s="78">
        <f t="shared" si="26"/>
        <v>0</v>
      </c>
      <c r="N117" s="78">
        <f t="shared" si="26"/>
        <v>0</v>
      </c>
      <c r="O117" s="78">
        <f t="shared" si="14"/>
        <v>600</v>
      </c>
    </row>
    <row r="118" spans="1:15" x14ac:dyDescent="0.3">
      <c r="A118" s="71">
        <f t="shared" si="16"/>
        <v>6610</v>
      </c>
      <c r="B118" s="75" t="s">
        <v>308</v>
      </c>
      <c r="C118" s="77">
        <f>24229.18</f>
        <v>24229.18</v>
      </c>
      <c r="D118" s="77">
        <f>29257.91</f>
        <v>29257.91</v>
      </c>
      <c r="E118" s="77">
        <f>25419.8</f>
        <v>25419.8</v>
      </c>
      <c r="F118" s="77">
        <f>38783.44</f>
        <v>38783.440000000002</v>
      </c>
      <c r="G118" s="77">
        <f>26137.42</f>
        <v>26137.42</v>
      </c>
      <c r="H118" s="77">
        <f>26321.57</f>
        <v>26321.57</v>
      </c>
      <c r="I118" s="77">
        <f>28008.17</f>
        <v>28008.17</v>
      </c>
      <c r="J118" s="77">
        <f>26729.64</f>
        <v>26729.64</v>
      </c>
      <c r="K118" s="76"/>
      <c r="L118" s="76"/>
      <c r="M118" s="76"/>
      <c r="N118" s="76"/>
      <c r="O118" s="77">
        <f t="shared" si="14"/>
        <v>224887.13</v>
      </c>
    </row>
    <row r="119" spans="1:15" x14ac:dyDescent="0.3">
      <c r="A119" s="71">
        <f t="shared" si="16"/>
        <v>6621</v>
      </c>
      <c r="B119" s="75" t="s">
        <v>309</v>
      </c>
      <c r="C119" s="77">
        <f>1815.86</f>
        <v>1815.86</v>
      </c>
      <c r="D119" s="77">
        <f>2212.42</f>
        <v>2212.42</v>
      </c>
      <c r="E119" s="77">
        <f>1918.8</f>
        <v>1918.8</v>
      </c>
      <c r="F119" s="77">
        <f>2928.24</f>
        <v>2928.24</v>
      </c>
      <c r="G119" s="77">
        <f>1973.72</f>
        <v>1973.72</v>
      </c>
      <c r="H119" s="77">
        <f>2182.07</f>
        <v>2182.0700000000002</v>
      </c>
      <c r="I119" s="77">
        <f>2103.06</f>
        <v>2103.06</v>
      </c>
      <c r="J119" s="77">
        <f>2005.78</f>
        <v>2005.78</v>
      </c>
      <c r="K119" s="76"/>
      <c r="L119" s="76"/>
      <c r="M119" s="76"/>
      <c r="N119" s="76"/>
      <c r="O119" s="77">
        <f t="shared" si="14"/>
        <v>17139.949999999997</v>
      </c>
    </row>
    <row r="120" spans="1:15" x14ac:dyDescent="0.3">
      <c r="A120" s="71">
        <f t="shared" si="16"/>
        <v>6622</v>
      </c>
      <c r="B120" s="75" t="s">
        <v>310</v>
      </c>
      <c r="C120" s="77">
        <f>199.42</f>
        <v>199.42</v>
      </c>
      <c r="D120" s="77">
        <f>199.42</f>
        <v>199.42</v>
      </c>
      <c r="E120" s="77">
        <f>199.42</f>
        <v>199.42</v>
      </c>
      <c r="F120" s="77">
        <f>199.42</f>
        <v>199.42</v>
      </c>
      <c r="G120" s="77">
        <f>199.42</f>
        <v>199.42</v>
      </c>
      <c r="H120" s="77">
        <f>199.4</f>
        <v>199.4</v>
      </c>
      <c r="I120" s="77">
        <f>194.67</f>
        <v>194.67</v>
      </c>
      <c r="J120" s="76"/>
      <c r="K120" s="76"/>
      <c r="L120" s="76"/>
      <c r="M120" s="76"/>
      <c r="N120" s="76"/>
      <c r="O120" s="77">
        <f t="shared" si="14"/>
        <v>1391.17</v>
      </c>
    </row>
    <row r="121" spans="1:15" x14ac:dyDescent="0.3">
      <c r="A121" s="71">
        <f t="shared" si="16"/>
        <v>6628</v>
      </c>
      <c r="B121" s="75" t="s">
        <v>311</v>
      </c>
      <c r="C121" s="77">
        <f>2991.89</f>
        <v>2991.89</v>
      </c>
      <c r="D121" s="77">
        <f>2062.82</f>
        <v>2062.8200000000002</v>
      </c>
      <c r="E121" s="77">
        <f>1910.97</f>
        <v>1910.97</v>
      </c>
      <c r="F121" s="77">
        <f>1878.07</f>
        <v>1878.07</v>
      </c>
      <c r="G121" s="77">
        <f>1895.83</f>
        <v>1895.83</v>
      </c>
      <c r="H121" s="77">
        <f>2985.78</f>
        <v>2985.78</v>
      </c>
      <c r="I121" s="77">
        <f>1901.65</f>
        <v>1901.65</v>
      </c>
      <c r="J121" s="76"/>
      <c r="K121" s="76"/>
      <c r="L121" s="76"/>
      <c r="M121" s="76"/>
      <c r="N121" s="76"/>
      <c r="O121" s="77">
        <f t="shared" si="14"/>
        <v>15627.01</v>
      </c>
    </row>
    <row r="122" spans="1:15" x14ac:dyDescent="0.3">
      <c r="A122" s="71">
        <f t="shared" si="16"/>
        <v>6629</v>
      </c>
      <c r="B122" s="75" t="s">
        <v>312</v>
      </c>
      <c r="C122" s="77">
        <f>154.61</f>
        <v>154.61000000000001</v>
      </c>
      <c r="D122" s="77">
        <f>40</f>
        <v>40</v>
      </c>
      <c r="E122" s="77">
        <f>31.77</f>
        <v>31.77</v>
      </c>
      <c r="F122" s="77">
        <f>40.38</f>
        <v>40.380000000000003</v>
      </c>
      <c r="G122" s="77">
        <f>54.31</f>
        <v>54.31</v>
      </c>
      <c r="H122" s="76"/>
      <c r="I122" s="76"/>
      <c r="J122" s="76"/>
      <c r="K122" s="76"/>
      <c r="L122" s="76"/>
      <c r="M122" s="76"/>
      <c r="N122" s="76"/>
      <c r="O122" s="77">
        <f t="shared" si="14"/>
        <v>321.07000000000005</v>
      </c>
    </row>
    <row r="123" spans="1:15" x14ac:dyDescent="0.3">
      <c r="A123" s="71">
        <f t="shared" si="16"/>
        <v>6641</v>
      </c>
      <c r="B123" s="75" t="s">
        <v>313</v>
      </c>
      <c r="C123" s="77">
        <f>181.83</f>
        <v>181.83</v>
      </c>
      <c r="D123" s="77">
        <f>174.33</f>
        <v>174.33</v>
      </c>
      <c r="E123" s="77">
        <f>204.06</f>
        <v>204.06</v>
      </c>
      <c r="F123" s="77">
        <f>150.39</f>
        <v>150.38999999999999</v>
      </c>
      <c r="G123" s="77">
        <f>133.11</f>
        <v>133.11000000000001</v>
      </c>
      <c r="H123" s="77">
        <f>187.71</f>
        <v>187.71</v>
      </c>
      <c r="I123" s="77">
        <f>365.45</f>
        <v>365.45</v>
      </c>
      <c r="J123" s="76"/>
      <c r="K123" s="76"/>
      <c r="L123" s="76"/>
      <c r="M123" s="76"/>
      <c r="N123" s="76"/>
      <c r="O123" s="77">
        <f t="shared" si="14"/>
        <v>1396.88</v>
      </c>
    </row>
    <row r="124" spans="1:15" x14ac:dyDescent="0.3">
      <c r="A124" s="71">
        <f t="shared" si="16"/>
        <v>9990</v>
      </c>
      <c r="B124" s="75" t="s">
        <v>314</v>
      </c>
      <c r="C124" s="77">
        <f>-2007.61</f>
        <v>-2007.61</v>
      </c>
      <c r="D124" s="77">
        <f>-1603.93</f>
        <v>-1603.93</v>
      </c>
      <c r="E124" s="77">
        <f>-1603.93</f>
        <v>-1603.93</v>
      </c>
      <c r="F124" s="77">
        <f>-1765.4</f>
        <v>-1765.4</v>
      </c>
      <c r="G124" s="77">
        <f>-1765.4</f>
        <v>-1765.4</v>
      </c>
      <c r="H124" s="77">
        <f>-2380.51</f>
        <v>-2380.5100000000002</v>
      </c>
      <c r="I124" s="77">
        <f>-1765.4</f>
        <v>-1765.4</v>
      </c>
      <c r="J124" s="76"/>
      <c r="K124" s="76"/>
      <c r="L124" s="76"/>
      <c r="M124" s="76"/>
      <c r="N124" s="76"/>
      <c r="O124" s="77">
        <f t="shared" si="14"/>
        <v>-12892.18</v>
      </c>
    </row>
    <row r="125" spans="1:15" x14ac:dyDescent="0.3">
      <c r="A125" s="71" t="str">
        <f t="shared" si="16"/>
        <v>Total 150 Salaries &amp; Benefits</v>
      </c>
      <c r="B125" s="75" t="s">
        <v>315</v>
      </c>
      <c r="C125" s="78">
        <f t="shared" ref="C125:N125" si="27">(((((((((C108)+(C114))+(C117))+(C118))+(C119))+(C120))+(C121))+(C122))+(C123))+(C124)</f>
        <v>32824.520000000004</v>
      </c>
      <c r="D125" s="78">
        <f t="shared" si="27"/>
        <v>37608.47</v>
      </c>
      <c r="E125" s="78">
        <f t="shared" si="27"/>
        <v>33520.639999999992</v>
      </c>
      <c r="F125" s="78">
        <f t="shared" si="27"/>
        <v>47769.849999999991</v>
      </c>
      <c r="G125" s="78">
        <f t="shared" si="27"/>
        <v>33869.869999999995</v>
      </c>
      <c r="H125" s="78">
        <f t="shared" si="27"/>
        <v>34763.759999999995</v>
      </c>
      <c r="I125" s="78">
        <f t="shared" si="27"/>
        <v>44020.079999999987</v>
      </c>
      <c r="J125" s="78">
        <f t="shared" si="27"/>
        <v>28707.199999999997</v>
      </c>
      <c r="K125" s="78">
        <f t="shared" si="27"/>
        <v>0</v>
      </c>
      <c r="L125" s="78">
        <f t="shared" si="27"/>
        <v>0</v>
      </c>
      <c r="M125" s="78">
        <f t="shared" si="27"/>
        <v>0</v>
      </c>
      <c r="N125" s="78">
        <f t="shared" si="27"/>
        <v>0</v>
      </c>
      <c r="O125" s="78">
        <f t="shared" si="14"/>
        <v>293084.38999999996</v>
      </c>
    </row>
    <row r="126" spans="1:15" x14ac:dyDescent="0.3">
      <c r="A126" s="71" t="str">
        <f t="shared" si="16"/>
        <v>160 Administration</v>
      </c>
      <c r="B126" s="75" t="s">
        <v>316</v>
      </c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7">
        <f t="shared" ref="O126:O184" si="28">(((((((((((C126)+(D126))+(E126))+(F126))+(G126))+(H126))+(I126))+(J126))+(K126))+(L126))+(M126))+(N126)</f>
        <v>0</v>
      </c>
    </row>
    <row r="127" spans="1:15" x14ac:dyDescent="0.3">
      <c r="A127" s="71" t="str">
        <f t="shared" si="16"/>
        <v>162 Office Supplies &amp; Equipment</v>
      </c>
      <c r="B127" s="75" t="s">
        <v>317</v>
      </c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7">
        <f t="shared" si="28"/>
        <v>0</v>
      </c>
    </row>
    <row r="128" spans="1:15" x14ac:dyDescent="0.3">
      <c r="A128" s="71">
        <f t="shared" si="16"/>
        <v>6663</v>
      </c>
      <c r="B128" s="75" t="s">
        <v>318</v>
      </c>
      <c r="C128" s="77">
        <f>96.44</f>
        <v>96.44</v>
      </c>
      <c r="D128" s="77">
        <f>572.48</f>
        <v>572.48</v>
      </c>
      <c r="E128" s="77">
        <f>217.49</f>
        <v>217.49</v>
      </c>
      <c r="F128" s="77">
        <f>46.19</f>
        <v>46.19</v>
      </c>
      <c r="G128" s="77">
        <f>110.41</f>
        <v>110.41</v>
      </c>
      <c r="H128" s="77">
        <f>306.61</f>
        <v>306.61</v>
      </c>
      <c r="I128" s="77">
        <f>12.79</f>
        <v>12.79</v>
      </c>
      <c r="J128" s="77">
        <f>127.61</f>
        <v>127.61</v>
      </c>
      <c r="K128" s="77">
        <f>69.46</f>
        <v>69.459999999999994</v>
      </c>
      <c r="L128" s="76"/>
      <c r="M128" s="76"/>
      <c r="N128" s="76"/>
      <c r="O128" s="77">
        <f t="shared" si="28"/>
        <v>1559.4800000000002</v>
      </c>
    </row>
    <row r="129" spans="1:15" x14ac:dyDescent="0.3">
      <c r="A129" s="71">
        <f t="shared" si="16"/>
        <v>6664</v>
      </c>
      <c r="B129" s="75" t="s">
        <v>319</v>
      </c>
      <c r="C129" s="76"/>
      <c r="D129" s="77">
        <f>208.95</f>
        <v>208.95</v>
      </c>
      <c r="E129" s="76"/>
      <c r="F129" s="76"/>
      <c r="G129" s="77">
        <f>71.59</f>
        <v>71.59</v>
      </c>
      <c r="H129" s="76"/>
      <c r="I129" s="76"/>
      <c r="J129" s="76"/>
      <c r="K129" s="76"/>
      <c r="L129" s="76"/>
      <c r="M129" s="76"/>
      <c r="N129" s="76"/>
      <c r="O129" s="77">
        <f t="shared" si="28"/>
        <v>280.53999999999996</v>
      </c>
    </row>
    <row r="130" spans="1:15" x14ac:dyDescent="0.3">
      <c r="A130" s="71" t="str">
        <f t="shared" si="16"/>
        <v>Total 162 Office Supplies &amp; Equipment</v>
      </c>
      <c r="B130" s="75" t="s">
        <v>320</v>
      </c>
      <c r="C130" s="78">
        <f t="shared" ref="C130:N130" si="29">((C127)+(C128))+(C129)</f>
        <v>96.44</v>
      </c>
      <c r="D130" s="78">
        <f t="shared" si="29"/>
        <v>781.43000000000006</v>
      </c>
      <c r="E130" s="78">
        <f t="shared" si="29"/>
        <v>217.49</v>
      </c>
      <c r="F130" s="78">
        <f t="shared" si="29"/>
        <v>46.19</v>
      </c>
      <c r="G130" s="78">
        <f t="shared" si="29"/>
        <v>182</v>
      </c>
      <c r="H130" s="78">
        <f t="shared" si="29"/>
        <v>306.61</v>
      </c>
      <c r="I130" s="78">
        <f t="shared" si="29"/>
        <v>12.79</v>
      </c>
      <c r="J130" s="78">
        <f t="shared" si="29"/>
        <v>127.61</v>
      </c>
      <c r="K130" s="78">
        <f t="shared" si="29"/>
        <v>69.459999999999994</v>
      </c>
      <c r="L130" s="78">
        <f t="shared" si="29"/>
        <v>0</v>
      </c>
      <c r="M130" s="78">
        <f t="shared" si="29"/>
        <v>0</v>
      </c>
      <c r="N130" s="78">
        <f t="shared" si="29"/>
        <v>0</v>
      </c>
      <c r="O130" s="78">
        <f t="shared" si="28"/>
        <v>1840.0200000000002</v>
      </c>
    </row>
    <row r="131" spans="1:15" x14ac:dyDescent="0.3">
      <c r="A131" s="71" t="str">
        <f t="shared" si="16"/>
        <v>164 Printing</v>
      </c>
      <c r="B131" s="75" t="s">
        <v>321</v>
      </c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7">
        <f t="shared" si="28"/>
        <v>0</v>
      </c>
    </row>
    <row r="132" spans="1:15" x14ac:dyDescent="0.3">
      <c r="A132" s="71">
        <f t="shared" si="16"/>
        <v>6661</v>
      </c>
      <c r="B132" s="75" t="s">
        <v>322</v>
      </c>
      <c r="C132" s="76"/>
      <c r="D132" s="77">
        <f>2170.7</f>
        <v>2170.6999999999998</v>
      </c>
      <c r="E132" s="76"/>
      <c r="F132" s="76"/>
      <c r="G132" s="77">
        <f>78</f>
        <v>78</v>
      </c>
      <c r="H132" s="76"/>
      <c r="I132" s="76"/>
      <c r="J132" s="76"/>
      <c r="K132" s="76"/>
      <c r="L132" s="76"/>
      <c r="M132" s="76"/>
      <c r="N132" s="76"/>
      <c r="O132" s="77">
        <f t="shared" si="28"/>
        <v>2248.6999999999998</v>
      </c>
    </row>
    <row r="133" spans="1:15" x14ac:dyDescent="0.3">
      <c r="A133" s="71">
        <f t="shared" si="16"/>
        <v>6669</v>
      </c>
      <c r="B133" s="75" t="s">
        <v>323</v>
      </c>
      <c r="C133" s="76"/>
      <c r="D133" s="77">
        <f>200</f>
        <v>200</v>
      </c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7">
        <f t="shared" si="28"/>
        <v>200</v>
      </c>
    </row>
    <row r="134" spans="1:15" x14ac:dyDescent="0.3">
      <c r="A134" s="71">
        <f t="shared" si="16"/>
        <v>6679</v>
      </c>
      <c r="B134" s="75" t="s">
        <v>324</v>
      </c>
      <c r="C134" s="76"/>
      <c r="D134" s="77">
        <f>63</f>
        <v>63</v>
      </c>
      <c r="E134" s="77">
        <f>117</f>
        <v>117</v>
      </c>
      <c r="F134" s="76"/>
      <c r="G134" s="77">
        <f>67.5</f>
        <v>67.5</v>
      </c>
      <c r="H134" s="76"/>
      <c r="I134" s="76"/>
      <c r="J134" s="76"/>
      <c r="K134" s="76"/>
      <c r="L134" s="76"/>
      <c r="M134" s="76"/>
      <c r="N134" s="76"/>
      <c r="O134" s="77">
        <f t="shared" si="28"/>
        <v>247.5</v>
      </c>
    </row>
    <row r="135" spans="1:15" x14ac:dyDescent="0.3">
      <c r="A135" s="71">
        <f t="shared" ref="A135:A190" si="30">IF(ISNUMBER(VALUE(LEFT(TRIM(B135),5))),VALUE(LEFT(TRIM(B135),4)),TRIM(B135))</f>
        <v>6685</v>
      </c>
      <c r="B135" s="75" t="s">
        <v>385</v>
      </c>
      <c r="C135" s="76"/>
      <c r="D135" s="77">
        <f>2375</f>
        <v>2375</v>
      </c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7">
        <f t="shared" si="28"/>
        <v>2375</v>
      </c>
    </row>
    <row r="136" spans="1:15" x14ac:dyDescent="0.3">
      <c r="A136" s="71" t="str">
        <f t="shared" si="30"/>
        <v>Total 164 Printing</v>
      </c>
      <c r="B136" s="75" t="s">
        <v>325</v>
      </c>
      <c r="C136" s="78">
        <f t="shared" ref="C136:N136" si="31">((((C131)+(C132))+(C133))+(C134))+(C135)</f>
        <v>0</v>
      </c>
      <c r="D136" s="78">
        <f t="shared" si="31"/>
        <v>4808.7</v>
      </c>
      <c r="E136" s="78">
        <f t="shared" si="31"/>
        <v>117</v>
      </c>
      <c r="F136" s="78">
        <f t="shared" si="31"/>
        <v>0</v>
      </c>
      <c r="G136" s="78">
        <f t="shared" si="31"/>
        <v>145.5</v>
      </c>
      <c r="H136" s="78">
        <f t="shared" si="31"/>
        <v>0</v>
      </c>
      <c r="I136" s="78">
        <f t="shared" si="31"/>
        <v>0</v>
      </c>
      <c r="J136" s="78">
        <f t="shared" si="31"/>
        <v>0</v>
      </c>
      <c r="K136" s="78">
        <f t="shared" si="31"/>
        <v>0</v>
      </c>
      <c r="L136" s="78">
        <f t="shared" si="31"/>
        <v>0</v>
      </c>
      <c r="M136" s="78">
        <f t="shared" si="31"/>
        <v>0</v>
      </c>
      <c r="N136" s="78">
        <f t="shared" si="31"/>
        <v>0</v>
      </c>
      <c r="O136" s="78">
        <f t="shared" si="28"/>
        <v>5071.2</v>
      </c>
    </row>
    <row r="137" spans="1:15" x14ac:dyDescent="0.3">
      <c r="A137" s="71">
        <f t="shared" si="30"/>
        <v>6662</v>
      </c>
      <c r="B137" s="75" t="s">
        <v>326</v>
      </c>
      <c r="C137" s="77">
        <f>100</f>
        <v>100</v>
      </c>
      <c r="D137" s="77">
        <f>70</f>
        <v>70</v>
      </c>
      <c r="E137" s="77">
        <f>200</f>
        <v>200</v>
      </c>
      <c r="F137" s="77">
        <f>533.25</f>
        <v>533.25</v>
      </c>
      <c r="G137" s="77">
        <f>395.5</f>
        <v>395.5</v>
      </c>
      <c r="H137" s="77">
        <f>269.25</f>
        <v>269.25</v>
      </c>
      <c r="I137" s="77">
        <f>200</f>
        <v>200</v>
      </c>
      <c r="J137" s="77">
        <f>250</f>
        <v>250</v>
      </c>
      <c r="K137" s="76"/>
      <c r="L137" s="76"/>
      <c r="M137" s="76"/>
      <c r="N137" s="76"/>
      <c r="O137" s="77">
        <f t="shared" si="28"/>
        <v>2018</v>
      </c>
    </row>
    <row r="138" spans="1:15" x14ac:dyDescent="0.3">
      <c r="A138" s="71">
        <f t="shared" si="30"/>
        <v>6665</v>
      </c>
      <c r="B138" s="75" t="s">
        <v>327</v>
      </c>
      <c r="C138" s="77">
        <f>63.33</f>
        <v>63.33</v>
      </c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7">
        <f t="shared" si="28"/>
        <v>63.33</v>
      </c>
    </row>
    <row r="139" spans="1:15" x14ac:dyDescent="0.3">
      <c r="A139" s="71">
        <f t="shared" si="30"/>
        <v>6666</v>
      </c>
      <c r="B139" s="75" t="s">
        <v>328</v>
      </c>
      <c r="C139" s="77">
        <f>445.99</f>
        <v>445.99</v>
      </c>
      <c r="D139" s="77">
        <f>132.84</f>
        <v>132.84</v>
      </c>
      <c r="E139" s="77">
        <f>776.1</f>
        <v>776.1</v>
      </c>
      <c r="F139" s="76"/>
      <c r="G139" s="77">
        <f>294.17</f>
        <v>294.17</v>
      </c>
      <c r="H139" s="77">
        <f>526.53</f>
        <v>526.53</v>
      </c>
      <c r="I139" s="77">
        <f>569.78</f>
        <v>569.78</v>
      </c>
      <c r="J139" s="77">
        <f>181.42</f>
        <v>181.42</v>
      </c>
      <c r="K139" s="77">
        <f>526.53</f>
        <v>526.53</v>
      </c>
      <c r="L139" s="76"/>
      <c r="M139" s="76"/>
      <c r="N139" s="76"/>
      <c r="O139" s="77">
        <f t="shared" si="28"/>
        <v>3453.3599999999997</v>
      </c>
    </row>
    <row r="140" spans="1:15" x14ac:dyDescent="0.3">
      <c r="A140" s="71">
        <f t="shared" si="30"/>
        <v>6668</v>
      </c>
      <c r="B140" s="75" t="s">
        <v>329</v>
      </c>
      <c r="C140" s="77">
        <f>74.27</f>
        <v>74.27</v>
      </c>
      <c r="D140" s="77">
        <f>47.74</f>
        <v>47.74</v>
      </c>
      <c r="E140" s="77">
        <f>46.27</f>
        <v>46.27</v>
      </c>
      <c r="F140" s="77">
        <f>255.95</f>
        <v>255.95</v>
      </c>
      <c r="G140" s="77">
        <f>135.41</f>
        <v>135.41</v>
      </c>
      <c r="H140" s="77">
        <f>91.5</f>
        <v>91.5</v>
      </c>
      <c r="I140" s="77">
        <f>158.37</f>
        <v>158.37</v>
      </c>
      <c r="J140" s="77">
        <f>72.43</f>
        <v>72.430000000000007</v>
      </c>
      <c r="K140" s="76"/>
      <c r="L140" s="76"/>
      <c r="M140" s="76"/>
      <c r="N140" s="76"/>
      <c r="O140" s="77">
        <f t="shared" si="28"/>
        <v>881.94</v>
      </c>
    </row>
    <row r="141" spans="1:15" x14ac:dyDescent="0.3">
      <c r="A141" s="71">
        <f t="shared" si="30"/>
        <v>6670</v>
      </c>
      <c r="B141" s="75" t="s">
        <v>330</v>
      </c>
      <c r="C141" s="76"/>
      <c r="D141" s="77">
        <f>180</f>
        <v>180</v>
      </c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7">
        <f t="shared" si="28"/>
        <v>180</v>
      </c>
    </row>
    <row r="142" spans="1:15" x14ac:dyDescent="0.3">
      <c r="A142" s="71">
        <f t="shared" si="30"/>
        <v>6671</v>
      </c>
      <c r="B142" s="75" t="s">
        <v>386</v>
      </c>
      <c r="C142" s="76"/>
      <c r="D142" s="76"/>
      <c r="E142" s="76"/>
      <c r="F142" s="77">
        <f>82.81</f>
        <v>82.81</v>
      </c>
      <c r="G142" s="76"/>
      <c r="H142" s="76"/>
      <c r="I142" s="76"/>
      <c r="J142" s="76"/>
      <c r="K142" s="76"/>
      <c r="L142" s="76"/>
      <c r="M142" s="76"/>
      <c r="N142" s="76"/>
      <c r="O142" s="77">
        <f t="shared" si="28"/>
        <v>82.81</v>
      </c>
    </row>
    <row r="143" spans="1:15" x14ac:dyDescent="0.3">
      <c r="A143" s="71">
        <f t="shared" si="30"/>
        <v>6672</v>
      </c>
      <c r="B143" s="75" t="s">
        <v>331</v>
      </c>
      <c r="C143" s="77">
        <f>2150</f>
        <v>2150</v>
      </c>
      <c r="D143" s="77">
        <f>1150</f>
        <v>1150</v>
      </c>
      <c r="E143" s="77">
        <f>15341.34</f>
        <v>15341.34</v>
      </c>
      <c r="F143" s="77">
        <f>1280</f>
        <v>1280</v>
      </c>
      <c r="G143" s="77">
        <f>4240</f>
        <v>4240</v>
      </c>
      <c r="H143" s="77">
        <f>7515.63</f>
        <v>7515.63</v>
      </c>
      <c r="I143" s="77">
        <f>1150</f>
        <v>1150</v>
      </c>
      <c r="J143" s="77">
        <f>1150</f>
        <v>1150</v>
      </c>
      <c r="K143" s="76"/>
      <c r="L143" s="76"/>
      <c r="M143" s="76"/>
      <c r="N143" s="76"/>
      <c r="O143" s="77">
        <f t="shared" si="28"/>
        <v>33976.97</v>
      </c>
    </row>
    <row r="144" spans="1:15" x14ac:dyDescent="0.3">
      <c r="A144" s="71">
        <f t="shared" si="30"/>
        <v>6673</v>
      </c>
      <c r="B144" s="75" t="s">
        <v>332</v>
      </c>
      <c r="C144" s="77">
        <f>3143.64</f>
        <v>3143.64</v>
      </c>
      <c r="D144" s="77">
        <f>1940.99</f>
        <v>1940.99</v>
      </c>
      <c r="E144" s="77">
        <f>2294.89</f>
        <v>2294.89</v>
      </c>
      <c r="F144" s="77">
        <f>1938.97</f>
        <v>1938.97</v>
      </c>
      <c r="G144" s="77">
        <f>4317.45</f>
        <v>4317.45</v>
      </c>
      <c r="H144" s="77">
        <f>1641.65</f>
        <v>1641.65</v>
      </c>
      <c r="I144" s="77">
        <f>2143.99</f>
        <v>2143.9899999999998</v>
      </c>
      <c r="J144" s="77">
        <f>421.89</f>
        <v>421.89</v>
      </c>
      <c r="K144" s="76"/>
      <c r="L144" s="76"/>
      <c r="M144" s="76"/>
      <c r="N144" s="76"/>
      <c r="O144" s="77">
        <f t="shared" si="28"/>
        <v>17843.469999999998</v>
      </c>
    </row>
    <row r="145" spans="1:15" x14ac:dyDescent="0.3">
      <c r="A145" s="71">
        <f t="shared" si="30"/>
        <v>6674</v>
      </c>
      <c r="B145" s="75" t="s">
        <v>333</v>
      </c>
      <c r="C145" s="77">
        <f>230</f>
        <v>230</v>
      </c>
      <c r="D145" s="77">
        <f>174.5</f>
        <v>174.5</v>
      </c>
      <c r="E145" s="77">
        <f>188</f>
        <v>188</v>
      </c>
      <c r="F145" s="77">
        <f>206.49</f>
        <v>206.49</v>
      </c>
      <c r="G145" s="77">
        <f>102.99</f>
        <v>102.99</v>
      </c>
      <c r="H145" s="77">
        <f>373.5</f>
        <v>373.5</v>
      </c>
      <c r="I145" s="77">
        <f>230.01</f>
        <v>230.01</v>
      </c>
      <c r="J145" s="77">
        <f>210.84</f>
        <v>210.84</v>
      </c>
      <c r="K145" s="77">
        <f>73.99</f>
        <v>73.989999999999995</v>
      </c>
      <c r="L145" s="76"/>
      <c r="M145" s="76"/>
      <c r="N145" s="76"/>
      <c r="O145" s="77">
        <f t="shared" si="28"/>
        <v>1790.32</v>
      </c>
    </row>
    <row r="146" spans="1:15" x14ac:dyDescent="0.3">
      <c r="A146" s="71">
        <f t="shared" si="30"/>
        <v>6675</v>
      </c>
      <c r="B146" s="75" t="s">
        <v>334</v>
      </c>
      <c r="C146" s="77">
        <f>726.94</f>
        <v>726.94</v>
      </c>
      <c r="D146" s="77">
        <f>514.43</f>
        <v>514.42999999999995</v>
      </c>
      <c r="E146" s="77">
        <f>659.54</f>
        <v>659.54</v>
      </c>
      <c r="F146" s="77">
        <f>817.57</f>
        <v>817.57</v>
      </c>
      <c r="G146" s="77">
        <f>1128.25</f>
        <v>1128.25</v>
      </c>
      <c r="H146" s="77">
        <f>1040.61</f>
        <v>1040.6099999999999</v>
      </c>
      <c r="I146" s="77">
        <f>934.68</f>
        <v>934.68</v>
      </c>
      <c r="J146" s="77">
        <f>914.98</f>
        <v>914.98</v>
      </c>
      <c r="K146" s="77">
        <f>412.41</f>
        <v>412.41</v>
      </c>
      <c r="L146" s="76"/>
      <c r="M146" s="76"/>
      <c r="N146" s="76"/>
      <c r="O146" s="77">
        <f t="shared" si="28"/>
        <v>7149.41</v>
      </c>
    </row>
    <row r="147" spans="1:15" x14ac:dyDescent="0.3">
      <c r="A147" s="71">
        <f t="shared" si="30"/>
        <v>6677</v>
      </c>
      <c r="B147" s="75" t="s">
        <v>335</v>
      </c>
      <c r="C147" s="77">
        <f>28.98</f>
        <v>28.98</v>
      </c>
      <c r="D147" s="77">
        <f>2.67</f>
        <v>2.67</v>
      </c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7">
        <f t="shared" si="28"/>
        <v>31.65</v>
      </c>
    </row>
    <row r="148" spans="1:15" x14ac:dyDescent="0.3">
      <c r="A148" s="71">
        <f t="shared" si="30"/>
        <v>6690</v>
      </c>
      <c r="B148" s="75" t="s">
        <v>337</v>
      </c>
      <c r="C148" s="76"/>
      <c r="D148" s="77">
        <f>20</f>
        <v>20</v>
      </c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7">
        <f t="shared" si="28"/>
        <v>20</v>
      </c>
    </row>
    <row r="149" spans="1:15" x14ac:dyDescent="0.3">
      <c r="A149" s="71">
        <f t="shared" si="30"/>
        <v>6695</v>
      </c>
      <c r="B149" s="75" t="s">
        <v>338</v>
      </c>
      <c r="C149" s="76"/>
      <c r="D149" s="77">
        <f>63</f>
        <v>63</v>
      </c>
      <c r="E149" s="77">
        <f>28</f>
        <v>28</v>
      </c>
      <c r="F149" s="77">
        <f>943.69</f>
        <v>943.69</v>
      </c>
      <c r="G149" s="77">
        <f>72.34</f>
        <v>72.34</v>
      </c>
      <c r="H149" s="77">
        <f>246.4</f>
        <v>246.4</v>
      </c>
      <c r="I149" s="76"/>
      <c r="J149" s="76"/>
      <c r="K149" s="76"/>
      <c r="L149" s="76"/>
      <c r="M149" s="76"/>
      <c r="N149" s="76"/>
      <c r="O149" s="77">
        <f t="shared" si="28"/>
        <v>1353.43</v>
      </c>
    </row>
    <row r="150" spans="1:15" x14ac:dyDescent="0.3">
      <c r="A150" s="71" t="str">
        <f t="shared" si="30"/>
        <v>Total 160 Administration</v>
      </c>
      <c r="B150" s="75" t="s">
        <v>339</v>
      </c>
      <c r="C150" s="78">
        <f t="shared" ref="C150:N150" si="32">(((((((((((((((C126)+(C130))+(C136))+(C137))+(C138))+(C139))+(C140))+(C141))+(C142))+(C143))+(C144))+(C145))+(C146))+(C147))+(C148))+(C149)</f>
        <v>7059.59</v>
      </c>
      <c r="D150" s="78">
        <f t="shared" si="32"/>
        <v>9886.3000000000011</v>
      </c>
      <c r="E150" s="78">
        <f t="shared" si="32"/>
        <v>19868.63</v>
      </c>
      <c r="F150" s="78">
        <f t="shared" si="32"/>
        <v>6104.92</v>
      </c>
      <c r="G150" s="78">
        <f t="shared" si="32"/>
        <v>11013.609999999999</v>
      </c>
      <c r="H150" s="78">
        <f t="shared" si="32"/>
        <v>12011.68</v>
      </c>
      <c r="I150" s="78">
        <f t="shared" si="32"/>
        <v>5399.6200000000008</v>
      </c>
      <c r="J150" s="78">
        <f t="shared" si="32"/>
        <v>3329.17</v>
      </c>
      <c r="K150" s="78">
        <f t="shared" si="32"/>
        <v>1082.3900000000001</v>
      </c>
      <c r="L150" s="78">
        <f t="shared" si="32"/>
        <v>0</v>
      </c>
      <c r="M150" s="78">
        <f t="shared" si="32"/>
        <v>0</v>
      </c>
      <c r="N150" s="78">
        <f t="shared" si="32"/>
        <v>0</v>
      </c>
      <c r="O150" s="78">
        <f t="shared" si="28"/>
        <v>75755.91</v>
      </c>
    </row>
    <row r="151" spans="1:15" x14ac:dyDescent="0.3">
      <c r="A151" s="71" t="str">
        <f t="shared" si="30"/>
        <v>170 Fundraising Expenses</v>
      </c>
      <c r="B151" s="75" t="s">
        <v>340</v>
      </c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7">
        <f t="shared" si="28"/>
        <v>0</v>
      </c>
    </row>
    <row r="152" spans="1:15" x14ac:dyDescent="0.3">
      <c r="A152" s="71">
        <f t="shared" si="30"/>
        <v>6740</v>
      </c>
      <c r="B152" s="75" t="s">
        <v>341</v>
      </c>
      <c r="C152" s="77">
        <f>5126.7</f>
        <v>5126.7</v>
      </c>
      <c r="D152" s="77">
        <f>13590.11</f>
        <v>13590.11</v>
      </c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7">
        <f t="shared" si="28"/>
        <v>18716.810000000001</v>
      </c>
    </row>
    <row r="153" spans="1:15" x14ac:dyDescent="0.3">
      <c r="A153" s="71">
        <f t="shared" si="30"/>
        <v>6744</v>
      </c>
      <c r="B153" s="75" t="s">
        <v>342</v>
      </c>
      <c r="C153" s="76"/>
      <c r="D153" s="76"/>
      <c r="E153" s="76"/>
      <c r="F153" s="76"/>
      <c r="G153" s="76"/>
      <c r="H153" s="77">
        <f>3368.9</f>
        <v>3368.9</v>
      </c>
      <c r="I153" s="76"/>
      <c r="J153" s="76"/>
      <c r="K153" s="76"/>
      <c r="L153" s="76"/>
      <c r="M153" s="76"/>
      <c r="N153" s="76"/>
      <c r="O153" s="77">
        <f t="shared" si="28"/>
        <v>3368.9</v>
      </c>
    </row>
    <row r="154" spans="1:15" x14ac:dyDescent="0.3">
      <c r="A154" s="71">
        <f t="shared" si="30"/>
        <v>6748</v>
      </c>
      <c r="B154" s="75" t="s">
        <v>344</v>
      </c>
      <c r="C154" s="76"/>
      <c r="D154" s="76"/>
      <c r="E154" s="77">
        <f>400</f>
        <v>400</v>
      </c>
      <c r="F154" s="77">
        <f>140</f>
        <v>140</v>
      </c>
      <c r="G154" s="76"/>
      <c r="H154" s="76"/>
      <c r="I154" s="76"/>
      <c r="J154" s="76"/>
      <c r="K154" s="77">
        <f>350</f>
        <v>350</v>
      </c>
      <c r="L154" s="76"/>
      <c r="M154" s="76"/>
      <c r="N154" s="76"/>
      <c r="O154" s="77">
        <f t="shared" si="28"/>
        <v>890</v>
      </c>
    </row>
    <row r="155" spans="1:15" x14ac:dyDescent="0.3">
      <c r="A155" s="71">
        <f t="shared" si="30"/>
        <v>6749</v>
      </c>
      <c r="B155" s="75" t="s">
        <v>345</v>
      </c>
      <c r="C155" s="76"/>
      <c r="D155" s="76"/>
      <c r="E155" s="76"/>
      <c r="F155" s="77">
        <f>3550</f>
        <v>3550</v>
      </c>
      <c r="G155" s="76"/>
      <c r="H155" s="76"/>
      <c r="I155" s="77">
        <f>451.48</f>
        <v>451.48</v>
      </c>
      <c r="J155" s="76"/>
      <c r="K155" s="76"/>
      <c r="L155" s="76"/>
      <c r="M155" s="76"/>
      <c r="N155" s="76"/>
      <c r="O155" s="77">
        <f t="shared" si="28"/>
        <v>4001.48</v>
      </c>
    </row>
    <row r="156" spans="1:15" x14ac:dyDescent="0.3">
      <c r="A156" s="71">
        <f t="shared" si="30"/>
        <v>6758</v>
      </c>
      <c r="B156" s="75" t="s">
        <v>346</v>
      </c>
      <c r="C156" s="76"/>
      <c r="D156" s="77">
        <f>85</f>
        <v>85</v>
      </c>
      <c r="E156" s="76"/>
      <c r="F156" s="76"/>
      <c r="G156" s="76"/>
      <c r="H156" s="76"/>
      <c r="I156" s="76"/>
      <c r="J156" s="77">
        <f>2110.68</f>
        <v>2110.6799999999998</v>
      </c>
      <c r="K156" s="76"/>
      <c r="L156" s="76"/>
      <c r="M156" s="76"/>
      <c r="N156" s="76"/>
      <c r="O156" s="77">
        <f t="shared" si="28"/>
        <v>2195.6799999999998</v>
      </c>
    </row>
    <row r="157" spans="1:15" x14ac:dyDescent="0.3">
      <c r="A157" s="71">
        <f t="shared" si="30"/>
        <v>6875</v>
      </c>
      <c r="B157" s="75" t="s">
        <v>347</v>
      </c>
      <c r="C157" s="77">
        <f>4578</f>
        <v>4578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7">
        <f t="shared" si="28"/>
        <v>4578</v>
      </c>
    </row>
    <row r="158" spans="1:15" x14ac:dyDescent="0.3">
      <c r="A158" s="71" t="str">
        <f t="shared" si="30"/>
        <v>Total 170 Fundraising Expenses</v>
      </c>
      <c r="B158" s="75" t="s">
        <v>348</v>
      </c>
      <c r="C158" s="78">
        <f t="shared" ref="C158:N158" si="33">((((((C151)+(C152))+(C153))+(C154))+(C155))+(C156))+(C157)</f>
        <v>9704.7000000000007</v>
      </c>
      <c r="D158" s="78">
        <f t="shared" si="33"/>
        <v>13675.11</v>
      </c>
      <c r="E158" s="78">
        <f t="shared" si="33"/>
        <v>400</v>
      </c>
      <c r="F158" s="78">
        <f t="shared" si="33"/>
        <v>3690</v>
      </c>
      <c r="G158" s="78">
        <f t="shared" si="33"/>
        <v>0</v>
      </c>
      <c r="H158" s="78">
        <f t="shared" si="33"/>
        <v>3368.9</v>
      </c>
      <c r="I158" s="78">
        <f t="shared" si="33"/>
        <v>451.48</v>
      </c>
      <c r="J158" s="78">
        <f t="shared" si="33"/>
        <v>2110.6799999999998</v>
      </c>
      <c r="K158" s="78">
        <f t="shared" si="33"/>
        <v>350</v>
      </c>
      <c r="L158" s="78">
        <f t="shared" si="33"/>
        <v>0</v>
      </c>
      <c r="M158" s="78">
        <f t="shared" si="33"/>
        <v>0</v>
      </c>
      <c r="N158" s="78">
        <f t="shared" si="33"/>
        <v>0</v>
      </c>
      <c r="O158" s="78">
        <f t="shared" si="28"/>
        <v>33750.870000000003</v>
      </c>
    </row>
    <row r="159" spans="1:15" x14ac:dyDescent="0.3">
      <c r="A159" s="71" t="str">
        <f t="shared" si="30"/>
        <v>180 Gift Shop Expense</v>
      </c>
      <c r="B159" s="75" t="s">
        <v>349</v>
      </c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7">
        <f t="shared" si="28"/>
        <v>0</v>
      </c>
    </row>
    <row r="160" spans="1:15" x14ac:dyDescent="0.3">
      <c r="A160" s="71">
        <f t="shared" si="30"/>
        <v>6750</v>
      </c>
      <c r="B160" s="75" t="s">
        <v>350</v>
      </c>
      <c r="C160" s="76"/>
      <c r="D160" s="77">
        <f>30</f>
        <v>30</v>
      </c>
      <c r="E160" s="76"/>
      <c r="F160" s="77">
        <f>10</f>
        <v>10</v>
      </c>
      <c r="G160" s="77">
        <f>59</f>
        <v>59</v>
      </c>
      <c r="H160" s="77">
        <f>34</f>
        <v>34</v>
      </c>
      <c r="I160" s="77">
        <f>10</f>
        <v>10</v>
      </c>
      <c r="J160" s="77">
        <f>28</f>
        <v>28</v>
      </c>
      <c r="K160" s="77">
        <f>39</f>
        <v>39</v>
      </c>
      <c r="L160" s="76"/>
      <c r="M160" s="76"/>
      <c r="N160" s="76"/>
      <c r="O160" s="77">
        <f t="shared" si="28"/>
        <v>210</v>
      </c>
    </row>
    <row r="161" spans="1:15" x14ac:dyDescent="0.3">
      <c r="A161" s="71">
        <f t="shared" si="30"/>
        <v>6751</v>
      </c>
      <c r="B161" s="75" t="s">
        <v>387</v>
      </c>
      <c r="C161" s="76"/>
      <c r="D161" s="76"/>
      <c r="E161" s="76"/>
      <c r="F161" s="76"/>
      <c r="G161" s="76"/>
      <c r="H161" s="76"/>
      <c r="I161" s="76"/>
      <c r="J161" s="77">
        <f>636</f>
        <v>636</v>
      </c>
      <c r="K161" s="76"/>
      <c r="L161" s="76"/>
      <c r="M161" s="76"/>
      <c r="N161" s="76"/>
      <c r="O161" s="77">
        <f t="shared" si="28"/>
        <v>636</v>
      </c>
    </row>
    <row r="162" spans="1:15" x14ac:dyDescent="0.3">
      <c r="A162" s="71">
        <f t="shared" si="30"/>
        <v>6756</v>
      </c>
      <c r="B162" s="75" t="s">
        <v>351</v>
      </c>
      <c r="C162" s="76"/>
      <c r="D162" s="76"/>
      <c r="E162" s="76"/>
      <c r="F162" s="76"/>
      <c r="G162" s="77">
        <f>239.53</f>
        <v>239.53</v>
      </c>
      <c r="H162" s="76"/>
      <c r="I162" s="77">
        <f>52.84</f>
        <v>52.84</v>
      </c>
      <c r="J162" s="76"/>
      <c r="K162" s="76"/>
      <c r="L162" s="76"/>
      <c r="M162" s="76"/>
      <c r="N162" s="76"/>
      <c r="O162" s="77">
        <f t="shared" si="28"/>
        <v>292.37</v>
      </c>
    </row>
    <row r="163" spans="1:15" x14ac:dyDescent="0.3">
      <c r="A163" s="71">
        <f t="shared" si="30"/>
        <v>6757</v>
      </c>
      <c r="B163" s="75" t="s">
        <v>352</v>
      </c>
      <c r="C163" s="77">
        <f>98.75</f>
        <v>98.75</v>
      </c>
      <c r="D163" s="77">
        <f>60.76</f>
        <v>60.76</v>
      </c>
      <c r="E163" s="77">
        <f>593</f>
        <v>593</v>
      </c>
      <c r="F163" s="77">
        <f>57.09</f>
        <v>57.09</v>
      </c>
      <c r="G163" s="77">
        <f>323.75</f>
        <v>323.75</v>
      </c>
      <c r="H163" s="77">
        <f>36.91</f>
        <v>36.909999999999997</v>
      </c>
      <c r="I163" s="77">
        <f>48</f>
        <v>48</v>
      </c>
      <c r="J163" s="77">
        <f>160.8</f>
        <v>160.80000000000001</v>
      </c>
      <c r="K163" s="76"/>
      <c r="L163" s="76"/>
      <c r="M163" s="76"/>
      <c r="N163" s="76"/>
      <c r="O163" s="77">
        <f t="shared" si="28"/>
        <v>1379.06</v>
      </c>
    </row>
    <row r="164" spans="1:15" x14ac:dyDescent="0.3">
      <c r="A164" s="71" t="str">
        <f t="shared" si="30"/>
        <v>Total 180 Gift Shop Expense</v>
      </c>
      <c r="B164" s="75" t="s">
        <v>353</v>
      </c>
      <c r="C164" s="78">
        <f t="shared" ref="C164:N164" si="34">((((C159)+(C160))+(C161))+(C162))+(C163)</f>
        <v>98.75</v>
      </c>
      <c r="D164" s="78">
        <f t="shared" si="34"/>
        <v>90.759999999999991</v>
      </c>
      <c r="E164" s="78">
        <f t="shared" si="34"/>
        <v>593</v>
      </c>
      <c r="F164" s="78">
        <f t="shared" si="34"/>
        <v>67.09</v>
      </c>
      <c r="G164" s="78">
        <f t="shared" si="34"/>
        <v>622.28</v>
      </c>
      <c r="H164" s="78">
        <f t="shared" si="34"/>
        <v>70.91</v>
      </c>
      <c r="I164" s="78">
        <f t="shared" si="34"/>
        <v>110.84</v>
      </c>
      <c r="J164" s="78">
        <f t="shared" si="34"/>
        <v>824.8</v>
      </c>
      <c r="K164" s="78">
        <f t="shared" si="34"/>
        <v>39</v>
      </c>
      <c r="L164" s="78">
        <f t="shared" si="34"/>
        <v>0</v>
      </c>
      <c r="M164" s="78">
        <f t="shared" si="34"/>
        <v>0</v>
      </c>
      <c r="N164" s="78">
        <f t="shared" si="34"/>
        <v>0</v>
      </c>
      <c r="O164" s="78">
        <f t="shared" si="28"/>
        <v>2517.4300000000003</v>
      </c>
    </row>
    <row r="165" spans="1:15" x14ac:dyDescent="0.3">
      <c r="A165" s="71" t="str">
        <f t="shared" si="30"/>
        <v>185 Other Expenses</v>
      </c>
      <c r="B165" s="75" t="s">
        <v>354</v>
      </c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7">
        <f t="shared" si="28"/>
        <v>0</v>
      </c>
    </row>
    <row r="166" spans="1:15" x14ac:dyDescent="0.3">
      <c r="A166" s="71">
        <f t="shared" si="30"/>
        <v>6810</v>
      </c>
      <c r="B166" s="75" t="s">
        <v>355</v>
      </c>
      <c r="C166" s="76"/>
      <c r="D166" s="76"/>
      <c r="E166" s="77">
        <f>402</f>
        <v>402</v>
      </c>
      <c r="F166" s="77">
        <f>87.75</f>
        <v>87.75</v>
      </c>
      <c r="G166" s="77">
        <f>339.5</f>
        <v>339.5</v>
      </c>
      <c r="H166" s="77">
        <f>26.9</f>
        <v>26.9</v>
      </c>
      <c r="I166" s="77">
        <f>359.5</f>
        <v>359.5</v>
      </c>
      <c r="J166" s="77">
        <f>448.18</f>
        <v>448.18</v>
      </c>
      <c r="K166" s="77">
        <f>639.2</f>
        <v>639.20000000000005</v>
      </c>
      <c r="L166" s="76"/>
      <c r="M166" s="76"/>
      <c r="N166" s="76"/>
      <c r="O166" s="77">
        <f t="shared" si="28"/>
        <v>2303.0300000000002</v>
      </c>
    </row>
    <row r="167" spans="1:15" x14ac:dyDescent="0.3">
      <c r="A167" s="71">
        <f t="shared" si="30"/>
        <v>6850</v>
      </c>
      <c r="B167" s="75" t="s">
        <v>357</v>
      </c>
      <c r="C167" s="77">
        <f>11.8</f>
        <v>11.8</v>
      </c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7">
        <f t="shared" si="28"/>
        <v>11.8</v>
      </c>
    </row>
    <row r="168" spans="1:15" x14ac:dyDescent="0.3">
      <c r="A168" s="71">
        <f t="shared" si="30"/>
        <v>6853</v>
      </c>
      <c r="B168" s="75" t="s">
        <v>358</v>
      </c>
      <c r="C168" s="77">
        <f>0</f>
        <v>0</v>
      </c>
      <c r="D168" s="76"/>
      <c r="E168" s="76"/>
      <c r="F168" s="76"/>
      <c r="G168" s="77">
        <f>500</f>
        <v>500</v>
      </c>
      <c r="H168" s="76"/>
      <c r="I168" s="76"/>
      <c r="J168" s="76"/>
      <c r="K168" s="76"/>
      <c r="L168" s="76"/>
      <c r="M168" s="76"/>
      <c r="N168" s="76"/>
      <c r="O168" s="77">
        <f t="shared" si="28"/>
        <v>500</v>
      </c>
    </row>
    <row r="169" spans="1:15" x14ac:dyDescent="0.3">
      <c r="A169" s="71">
        <f t="shared" si="30"/>
        <v>6855</v>
      </c>
      <c r="B169" s="75" t="s">
        <v>359</v>
      </c>
      <c r="C169" s="76"/>
      <c r="D169" s="76"/>
      <c r="E169" s="76"/>
      <c r="F169" s="76"/>
      <c r="G169" s="76"/>
      <c r="H169" s="77">
        <f>336</f>
        <v>336</v>
      </c>
      <c r="I169" s="76"/>
      <c r="J169" s="76"/>
      <c r="K169" s="76"/>
      <c r="L169" s="76"/>
      <c r="M169" s="76"/>
      <c r="N169" s="76"/>
      <c r="O169" s="77">
        <f t="shared" si="28"/>
        <v>336</v>
      </c>
    </row>
    <row r="170" spans="1:15" x14ac:dyDescent="0.3">
      <c r="A170" s="71">
        <f t="shared" si="30"/>
        <v>6870</v>
      </c>
      <c r="B170" s="75" t="s">
        <v>360</v>
      </c>
      <c r="C170" s="77">
        <f>94.5</f>
        <v>94.5</v>
      </c>
      <c r="D170" s="77">
        <f>211.75</f>
        <v>211.75</v>
      </c>
      <c r="E170" s="77">
        <f>148.75</f>
        <v>148.75</v>
      </c>
      <c r="F170" s="77">
        <f>218.75</f>
        <v>218.75</v>
      </c>
      <c r="G170" s="77">
        <f>162.75</f>
        <v>162.75</v>
      </c>
      <c r="H170" s="77">
        <f>127.75</f>
        <v>127.75</v>
      </c>
      <c r="I170" s="77">
        <f>168</f>
        <v>168</v>
      </c>
      <c r="J170" s="76"/>
      <c r="K170" s="76"/>
      <c r="L170" s="76"/>
      <c r="M170" s="76"/>
      <c r="N170" s="76"/>
      <c r="O170" s="77">
        <f t="shared" si="28"/>
        <v>1132.25</v>
      </c>
    </row>
    <row r="171" spans="1:15" x14ac:dyDescent="0.3">
      <c r="A171" s="71">
        <f t="shared" si="30"/>
        <v>6880</v>
      </c>
      <c r="B171" s="75" t="s">
        <v>406</v>
      </c>
      <c r="C171" s="76"/>
      <c r="D171" s="76"/>
      <c r="E171" s="77">
        <f>335.93</f>
        <v>335.93</v>
      </c>
      <c r="F171" s="76"/>
      <c r="G171" s="76"/>
      <c r="H171" s="76"/>
      <c r="I171" s="76"/>
      <c r="J171" s="76"/>
      <c r="K171" s="76"/>
      <c r="L171" s="76"/>
      <c r="M171" s="76"/>
      <c r="N171" s="76"/>
      <c r="O171" s="77">
        <f t="shared" si="28"/>
        <v>335.93</v>
      </c>
    </row>
    <row r="172" spans="1:15" x14ac:dyDescent="0.3">
      <c r="A172" s="71" t="str">
        <f t="shared" si="30"/>
        <v>Total 185 Other Expenses</v>
      </c>
      <c r="B172" s="75" t="s">
        <v>361</v>
      </c>
      <c r="C172" s="78">
        <f t="shared" ref="C172:N172" si="35">((((((C165)+(C166))+(C167))+(C168))+(C169))+(C170))+(C171)</f>
        <v>106.3</v>
      </c>
      <c r="D172" s="78">
        <f t="shared" si="35"/>
        <v>211.75</v>
      </c>
      <c r="E172" s="78">
        <f t="shared" si="35"/>
        <v>886.68000000000006</v>
      </c>
      <c r="F172" s="78">
        <f t="shared" si="35"/>
        <v>306.5</v>
      </c>
      <c r="G172" s="78">
        <f t="shared" si="35"/>
        <v>1002.25</v>
      </c>
      <c r="H172" s="78">
        <f t="shared" si="35"/>
        <v>490.65</v>
      </c>
      <c r="I172" s="78">
        <f t="shared" si="35"/>
        <v>527.5</v>
      </c>
      <c r="J172" s="78">
        <f t="shared" si="35"/>
        <v>448.18</v>
      </c>
      <c r="K172" s="78">
        <f t="shared" si="35"/>
        <v>639.20000000000005</v>
      </c>
      <c r="L172" s="78">
        <f t="shared" si="35"/>
        <v>0</v>
      </c>
      <c r="M172" s="78">
        <f t="shared" si="35"/>
        <v>0</v>
      </c>
      <c r="N172" s="78">
        <f t="shared" si="35"/>
        <v>0</v>
      </c>
      <c r="O172" s="78">
        <f t="shared" si="28"/>
        <v>4619.01</v>
      </c>
    </row>
    <row r="173" spans="1:15" x14ac:dyDescent="0.3">
      <c r="A173" s="71" t="str">
        <f t="shared" si="30"/>
        <v>500 Interinstitutional Transactions</v>
      </c>
      <c r="B173" s="75" t="s">
        <v>362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7">
        <f t="shared" si="28"/>
        <v>0</v>
      </c>
    </row>
    <row r="174" spans="1:15" x14ac:dyDescent="0.3">
      <c r="A174" s="71" t="str">
        <f t="shared" si="30"/>
        <v>510 Interinstitutional Revenue</v>
      </c>
      <c r="B174" s="75" t="s">
        <v>363</v>
      </c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7">
        <f t="shared" si="28"/>
        <v>0</v>
      </c>
    </row>
    <row r="175" spans="1:15" x14ac:dyDescent="0.3">
      <c r="A175" s="71">
        <f t="shared" si="30"/>
        <v>4880</v>
      </c>
      <c r="B175" s="75" t="s">
        <v>364</v>
      </c>
      <c r="C175" s="76"/>
      <c r="D175" s="76"/>
      <c r="E175" s="77">
        <f>-129.75</f>
        <v>-129.75</v>
      </c>
      <c r="F175" s="76"/>
      <c r="G175" s="76"/>
      <c r="H175" s="77">
        <f>-135.04</f>
        <v>-135.04</v>
      </c>
      <c r="I175" s="76"/>
      <c r="J175" s="76"/>
      <c r="K175" s="76"/>
      <c r="L175" s="76"/>
      <c r="M175" s="76"/>
      <c r="N175" s="76"/>
      <c r="O175" s="77">
        <f t="shared" si="28"/>
        <v>-264.78999999999996</v>
      </c>
    </row>
    <row r="176" spans="1:15" x14ac:dyDescent="0.3">
      <c r="A176" s="71" t="str">
        <f t="shared" si="30"/>
        <v>Total 510 Interinstitutional Revenue</v>
      </c>
      <c r="B176" s="75" t="s">
        <v>365</v>
      </c>
      <c r="C176" s="78">
        <f t="shared" ref="C176:N176" si="36">(C174)+(C175)</f>
        <v>0</v>
      </c>
      <c r="D176" s="78">
        <f t="shared" si="36"/>
        <v>0</v>
      </c>
      <c r="E176" s="78">
        <f t="shared" si="36"/>
        <v>-129.75</v>
      </c>
      <c r="F176" s="78">
        <f t="shared" si="36"/>
        <v>0</v>
      </c>
      <c r="G176" s="78">
        <f t="shared" si="36"/>
        <v>0</v>
      </c>
      <c r="H176" s="78">
        <f t="shared" si="36"/>
        <v>-135.04</v>
      </c>
      <c r="I176" s="78">
        <f t="shared" si="36"/>
        <v>0</v>
      </c>
      <c r="J176" s="78">
        <f t="shared" si="36"/>
        <v>0</v>
      </c>
      <c r="K176" s="78">
        <f t="shared" si="36"/>
        <v>0</v>
      </c>
      <c r="L176" s="78">
        <f t="shared" si="36"/>
        <v>0</v>
      </c>
      <c r="M176" s="78">
        <f t="shared" si="36"/>
        <v>0</v>
      </c>
      <c r="N176" s="78">
        <f t="shared" si="36"/>
        <v>0</v>
      </c>
      <c r="O176" s="78">
        <f t="shared" si="28"/>
        <v>-264.78999999999996</v>
      </c>
    </row>
    <row r="177" spans="1:15" x14ac:dyDescent="0.3">
      <c r="A177" s="71" t="str">
        <f t="shared" si="30"/>
        <v>520 Interinstitutional Expenses</v>
      </c>
      <c r="B177" s="75" t="s">
        <v>366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7">
        <f t="shared" si="28"/>
        <v>0</v>
      </c>
    </row>
    <row r="178" spans="1:15" x14ac:dyDescent="0.3">
      <c r="A178" s="71">
        <f t="shared" si="30"/>
        <v>6667</v>
      </c>
      <c r="B178" s="75" t="s">
        <v>367</v>
      </c>
      <c r="C178" s="77">
        <f t="shared" ref="C178:H178" si="37">2952.53</f>
        <v>2952.53</v>
      </c>
      <c r="D178" s="77">
        <f t="shared" si="37"/>
        <v>2952.53</v>
      </c>
      <c r="E178" s="77">
        <f t="shared" si="37"/>
        <v>2952.53</v>
      </c>
      <c r="F178" s="77">
        <f t="shared" si="37"/>
        <v>2952.53</v>
      </c>
      <c r="G178" s="77">
        <f t="shared" si="37"/>
        <v>2952.53</v>
      </c>
      <c r="H178" s="77">
        <f t="shared" si="37"/>
        <v>2952.53</v>
      </c>
      <c r="I178" s="77">
        <f>2986.76</f>
        <v>2986.76</v>
      </c>
      <c r="J178" s="76"/>
      <c r="K178" s="76"/>
      <c r="L178" s="76"/>
      <c r="M178" s="76"/>
      <c r="N178" s="76"/>
      <c r="O178" s="77">
        <f t="shared" si="28"/>
        <v>20701.940000000002</v>
      </c>
    </row>
    <row r="179" spans="1:15" x14ac:dyDescent="0.3">
      <c r="A179" s="71">
        <f t="shared" si="30"/>
        <v>6910</v>
      </c>
      <c r="B179" s="75" t="s">
        <v>368</v>
      </c>
      <c r="C179" s="77">
        <f t="shared" ref="C179:I179" si="38">5100.5</f>
        <v>5100.5</v>
      </c>
      <c r="D179" s="77">
        <f t="shared" si="38"/>
        <v>5100.5</v>
      </c>
      <c r="E179" s="77">
        <f t="shared" si="38"/>
        <v>5100.5</v>
      </c>
      <c r="F179" s="77">
        <f t="shared" si="38"/>
        <v>5100.5</v>
      </c>
      <c r="G179" s="77">
        <f t="shared" si="38"/>
        <v>5100.5</v>
      </c>
      <c r="H179" s="77">
        <f t="shared" si="38"/>
        <v>5100.5</v>
      </c>
      <c r="I179" s="77">
        <f t="shared" si="38"/>
        <v>5100.5</v>
      </c>
      <c r="J179" s="76"/>
      <c r="K179" s="76"/>
      <c r="L179" s="76"/>
      <c r="M179" s="76"/>
      <c r="N179" s="76"/>
      <c r="O179" s="77">
        <f t="shared" si="28"/>
        <v>35703.5</v>
      </c>
    </row>
    <row r="180" spans="1:15" x14ac:dyDescent="0.3">
      <c r="A180" s="71">
        <f t="shared" si="30"/>
        <v>6995</v>
      </c>
      <c r="B180" s="75" t="s">
        <v>369</v>
      </c>
      <c r="C180" s="77">
        <f>3000</f>
        <v>3000</v>
      </c>
      <c r="D180" s="77">
        <f>3000</f>
        <v>3000</v>
      </c>
      <c r="E180" s="77">
        <f>3000</f>
        <v>3000</v>
      </c>
      <c r="F180" s="77">
        <f>3000</f>
        <v>3000</v>
      </c>
      <c r="G180" s="77">
        <f>3000</f>
        <v>3000</v>
      </c>
      <c r="H180" s="77">
        <f>3000</f>
        <v>3000</v>
      </c>
      <c r="I180" s="77">
        <f>2939.29</f>
        <v>2939.29</v>
      </c>
      <c r="J180" s="76"/>
      <c r="K180" s="76"/>
      <c r="L180" s="76"/>
      <c r="M180" s="76"/>
      <c r="N180" s="76"/>
      <c r="O180" s="77">
        <f t="shared" si="28"/>
        <v>20939.29</v>
      </c>
    </row>
    <row r="181" spans="1:15" x14ac:dyDescent="0.3">
      <c r="A181" s="71" t="str">
        <f t="shared" si="30"/>
        <v>Total 520 Interinstitutional Expenses</v>
      </c>
      <c r="B181" s="75" t="s">
        <v>371</v>
      </c>
      <c r="C181" s="78">
        <f t="shared" ref="C181:N181" si="39">(((C177)+(C178))+(C179))+(C180)</f>
        <v>11053.03</v>
      </c>
      <c r="D181" s="78">
        <f t="shared" si="39"/>
        <v>11053.03</v>
      </c>
      <c r="E181" s="78">
        <f t="shared" si="39"/>
        <v>11053.03</v>
      </c>
      <c r="F181" s="78">
        <f t="shared" si="39"/>
        <v>11053.03</v>
      </c>
      <c r="G181" s="78">
        <f t="shared" si="39"/>
        <v>11053.03</v>
      </c>
      <c r="H181" s="78">
        <f t="shared" si="39"/>
        <v>11053.03</v>
      </c>
      <c r="I181" s="78">
        <f t="shared" si="39"/>
        <v>11026.55</v>
      </c>
      <c r="J181" s="78">
        <f t="shared" si="39"/>
        <v>0</v>
      </c>
      <c r="K181" s="78">
        <f t="shared" si="39"/>
        <v>0</v>
      </c>
      <c r="L181" s="78">
        <f t="shared" si="39"/>
        <v>0</v>
      </c>
      <c r="M181" s="78">
        <f t="shared" si="39"/>
        <v>0</v>
      </c>
      <c r="N181" s="78">
        <f t="shared" si="39"/>
        <v>0</v>
      </c>
      <c r="O181" s="78">
        <f t="shared" si="28"/>
        <v>77344.73000000001</v>
      </c>
    </row>
    <row r="182" spans="1:15" x14ac:dyDescent="0.3">
      <c r="A182" s="71" t="str">
        <f t="shared" si="30"/>
        <v>Total 500 Interinstitutional Transactions</v>
      </c>
      <c r="B182" s="75" t="s">
        <v>372</v>
      </c>
      <c r="C182" s="78">
        <f t="shared" ref="C182:N182" si="40">((C173)+(C176))+(C181)</f>
        <v>11053.03</v>
      </c>
      <c r="D182" s="78">
        <f t="shared" si="40"/>
        <v>11053.03</v>
      </c>
      <c r="E182" s="78">
        <f t="shared" si="40"/>
        <v>10923.28</v>
      </c>
      <c r="F182" s="78">
        <f t="shared" si="40"/>
        <v>11053.03</v>
      </c>
      <c r="G182" s="78">
        <f t="shared" si="40"/>
        <v>11053.03</v>
      </c>
      <c r="H182" s="78">
        <f t="shared" si="40"/>
        <v>10917.99</v>
      </c>
      <c r="I182" s="78">
        <f t="shared" si="40"/>
        <v>11026.55</v>
      </c>
      <c r="J182" s="78">
        <f t="shared" si="40"/>
        <v>0</v>
      </c>
      <c r="K182" s="78">
        <f t="shared" si="40"/>
        <v>0</v>
      </c>
      <c r="L182" s="78">
        <f t="shared" si="40"/>
        <v>0</v>
      </c>
      <c r="M182" s="78">
        <f t="shared" si="40"/>
        <v>0</v>
      </c>
      <c r="N182" s="78">
        <f t="shared" si="40"/>
        <v>0</v>
      </c>
      <c r="O182" s="78">
        <f t="shared" si="28"/>
        <v>77079.94</v>
      </c>
    </row>
    <row r="183" spans="1:15" x14ac:dyDescent="0.3">
      <c r="A183" s="71" t="str">
        <f t="shared" si="30"/>
        <v>Total Expenditures</v>
      </c>
      <c r="B183" s="75" t="s">
        <v>196</v>
      </c>
      <c r="C183" s="78">
        <f t="shared" ref="C183:N183" si="41">((((((((((((C66)+(C74))+(C79))+(C82))+(C93))+(C99))+(C107))+(C125))+(C150))+(C158))+(C164))+(C172))+(C182)</f>
        <v>91207.85</v>
      </c>
      <c r="D183" s="78">
        <f t="shared" si="41"/>
        <v>108553.48</v>
      </c>
      <c r="E183" s="78">
        <f t="shared" si="41"/>
        <v>109262.56999999998</v>
      </c>
      <c r="F183" s="78">
        <f t="shared" si="41"/>
        <v>109518.82999999999</v>
      </c>
      <c r="G183" s="78">
        <f t="shared" si="41"/>
        <v>93547.01</v>
      </c>
      <c r="H183" s="78">
        <f t="shared" si="41"/>
        <v>101303.80999999998</v>
      </c>
      <c r="I183" s="78">
        <f t="shared" si="41"/>
        <v>103462.02999999997</v>
      </c>
      <c r="J183" s="78">
        <f t="shared" si="41"/>
        <v>77832.039999999979</v>
      </c>
      <c r="K183" s="78">
        <f t="shared" si="41"/>
        <v>32263.25</v>
      </c>
      <c r="L183" s="78">
        <f t="shared" si="41"/>
        <v>0</v>
      </c>
      <c r="M183" s="78">
        <f t="shared" si="41"/>
        <v>0</v>
      </c>
      <c r="N183" s="78">
        <f t="shared" si="41"/>
        <v>0</v>
      </c>
      <c r="O183" s="78">
        <f t="shared" si="28"/>
        <v>826950.86999999988</v>
      </c>
    </row>
    <row r="184" spans="1:15" x14ac:dyDescent="0.3">
      <c r="A184" s="71" t="str">
        <f t="shared" si="30"/>
        <v>Net Operating Revenue</v>
      </c>
      <c r="B184" s="75" t="s">
        <v>373</v>
      </c>
      <c r="C184" s="78">
        <f t="shared" ref="C184:N184" si="42">(C60)-(C183)</f>
        <v>40440.369999999995</v>
      </c>
      <c r="D184" s="78">
        <f t="shared" si="42"/>
        <v>-21594.909999999989</v>
      </c>
      <c r="E184" s="78">
        <f t="shared" si="42"/>
        <v>-23577.189999999988</v>
      </c>
      <c r="F184" s="78">
        <f t="shared" si="42"/>
        <v>-11285.469999999987</v>
      </c>
      <c r="G184" s="78">
        <f t="shared" si="42"/>
        <v>85950.36</v>
      </c>
      <c r="H184" s="78">
        <f t="shared" si="42"/>
        <v>401402.73</v>
      </c>
      <c r="I184" s="78">
        <f t="shared" si="42"/>
        <v>-16362.689999999973</v>
      </c>
      <c r="J184" s="78">
        <f t="shared" si="42"/>
        <v>29133.860000000015</v>
      </c>
      <c r="K184" s="78">
        <f t="shared" si="42"/>
        <v>12583.279999999999</v>
      </c>
      <c r="L184" s="78">
        <f t="shared" si="42"/>
        <v>0</v>
      </c>
      <c r="M184" s="78">
        <f t="shared" si="42"/>
        <v>0</v>
      </c>
      <c r="N184" s="78">
        <f t="shared" si="42"/>
        <v>0</v>
      </c>
      <c r="O184" s="78">
        <f t="shared" si="28"/>
        <v>496690.34000000008</v>
      </c>
    </row>
    <row r="185" spans="1:15" x14ac:dyDescent="0.3">
      <c r="A185" s="71" t="str">
        <f t="shared" si="30"/>
        <v>Other Expenditures</v>
      </c>
      <c r="B185" s="75" t="s">
        <v>374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</row>
    <row r="186" spans="1:15" x14ac:dyDescent="0.3">
      <c r="A186" s="71">
        <f t="shared" si="30"/>
        <v>6899</v>
      </c>
      <c r="B186" s="75" t="s">
        <v>375</v>
      </c>
      <c r="C186" s="77">
        <f>9966.35</f>
        <v>9966.35</v>
      </c>
      <c r="D186" s="77">
        <f>9966.27</f>
        <v>9966.27</v>
      </c>
      <c r="E186" s="77">
        <f>9966.27</f>
        <v>9966.27</v>
      </c>
      <c r="F186" s="77">
        <f>10932.91</f>
        <v>10932.91</v>
      </c>
      <c r="G186" s="77">
        <f>10207.94</f>
        <v>10207.94</v>
      </c>
      <c r="H186" s="77">
        <f>10207.94</f>
        <v>10207.94</v>
      </c>
      <c r="I186" s="77">
        <f>10207.94</f>
        <v>10207.94</v>
      </c>
      <c r="J186" s="76"/>
      <c r="K186" s="76"/>
      <c r="L186" s="76"/>
      <c r="M186" s="76"/>
      <c r="N186" s="76"/>
      <c r="O186" s="77">
        <f>(((((((((((C186)+(D186))+(E186))+(F186))+(G186))+(H186))+(I186))+(J186))+(K186))+(L186))+(M186))+(N186)</f>
        <v>71455.62000000001</v>
      </c>
    </row>
    <row r="187" spans="1:15" x14ac:dyDescent="0.3">
      <c r="A187" s="71" t="str">
        <f t="shared" si="30"/>
        <v>Other (Billbeez)</v>
      </c>
      <c r="B187" s="75" t="s">
        <v>407</v>
      </c>
      <c r="C187" s="76"/>
      <c r="D187" s="76"/>
      <c r="E187" s="76"/>
      <c r="F187" s="76"/>
      <c r="G187" s="76"/>
      <c r="H187" s="76"/>
      <c r="I187" s="76"/>
      <c r="J187" s="76"/>
      <c r="K187" s="77">
        <f>354.55</f>
        <v>354.55</v>
      </c>
      <c r="L187" s="76"/>
      <c r="M187" s="76"/>
      <c r="N187" s="76"/>
      <c r="O187" s="77">
        <f>(((((((((((C187)+(D187))+(E187))+(F187))+(G187))+(H187))+(I187))+(J187))+(K187))+(L187))+(M187))+(N187)</f>
        <v>354.55</v>
      </c>
    </row>
    <row r="188" spans="1:15" x14ac:dyDescent="0.3">
      <c r="A188" s="71" t="str">
        <f t="shared" si="30"/>
        <v>Total Other Expenditures</v>
      </c>
      <c r="B188" s="75" t="s">
        <v>197</v>
      </c>
      <c r="C188" s="78">
        <f t="shared" ref="C188:N188" si="43">(C186)+(C187)</f>
        <v>9966.35</v>
      </c>
      <c r="D188" s="78">
        <f t="shared" si="43"/>
        <v>9966.27</v>
      </c>
      <c r="E188" s="78">
        <f t="shared" si="43"/>
        <v>9966.27</v>
      </c>
      <c r="F188" s="78">
        <f t="shared" si="43"/>
        <v>10932.91</v>
      </c>
      <c r="G188" s="78">
        <f t="shared" si="43"/>
        <v>10207.94</v>
      </c>
      <c r="H188" s="78">
        <f t="shared" si="43"/>
        <v>10207.94</v>
      </c>
      <c r="I188" s="78">
        <f t="shared" si="43"/>
        <v>10207.94</v>
      </c>
      <c r="J188" s="78">
        <f t="shared" si="43"/>
        <v>0</v>
      </c>
      <c r="K188" s="78">
        <f t="shared" si="43"/>
        <v>354.55</v>
      </c>
      <c r="L188" s="78">
        <f t="shared" si="43"/>
        <v>0</v>
      </c>
      <c r="M188" s="78">
        <f t="shared" si="43"/>
        <v>0</v>
      </c>
      <c r="N188" s="78">
        <f t="shared" si="43"/>
        <v>0</v>
      </c>
      <c r="O188" s="78">
        <f>(((((((((((C188)+(D188))+(E188))+(F188))+(G188))+(H188))+(I188))+(J188))+(K188))+(L188))+(M188))+(N188)</f>
        <v>71810.170000000013</v>
      </c>
    </row>
    <row r="189" spans="1:15" x14ac:dyDescent="0.3">
      <c r="A189" s="71" t="str">
        <f t="shared" si="30"/>
        <v>Net Other Revenue</v>
      </c>
      <c r="B189" s="75" t="s">
        <v>376</v>
      </c>
      <c r="C189" s="78">
        <f t="shared" ref="C189:N189" si="44">(0)-(C188)</f>
        <v>-9966.35</v>
      </c>
      <c r="D189" s="78">
        <f t="shared" si="44"/>
        <v>-9966.27</v>
      </c>
      <c r="E189" s="78">
        <f t="shared" si="44"/>
        <v>-9966.27</v>
      </c>
      <c r="F189" s="78">
        <f t="shared" si="44"/>
        <v>-10932.91</v>
      </c>
      <c r="G189" s="78">
        <f t="shared" si="44"/>
        <v>-10207.94</v>
      </c>
      <c r="H189" s="78">
        <f t="shared" si="44"/>
        <v>-10207.94</v>
      </c>
      <c r="I189" s="78">
        <f t="shared" si="44"/>
        <v>-10207.94</v>
      </c>
      <c r="J189" s="78">
        <f t="shared" si="44"/>
        <v>0</v>
      </c>
      <c r="K189" s="78">
        <f t="shared" si="44"/>
        <v>-354.55</v>
      </c>
      <c r="L189" s="78">
        <f t="shared" si="44"/>
        <v>0</v>
      </c>
      <c r="M189" s="78">
        <f t="shared" si="44"/>
        <v>0</v>
      </c>
      <c r="N189" s="78">
        <f t="shared" si="44"/>
        <v>0</v>
      </c>
      <c r="O189" s="78">
        <f>(((((((((((C189)+(D189))+(E189))+(F189))+(G189))+(H189))+(I189))+(J189))+(K189))+(L189))+(M189))+(N189)</f>
        <v>-71810.170000000013</v>
      </c>
    </row>
    <row r="190" spans="1:15" x14ac:dyDescent="0.3">
      <c r="A190" s="71" t="str">
        <f t="shared" si="30"/>
        <v>Net Revenue</v>
      </c>
      <c r="B190" s="75" t="s">
        <v>377</v>
      </c>
      <c r="C190" s="78">
        <f t="shared" ref="C190:N190" si="45">(C184)+(C189)</f>
        <v>30474.019999999997</v>
      </c>
      <c r="D190" s="78">
        <f t="shared" si="45"/>
        <v>-31561.179999999989</v>
      </c>
      <c r="E190" s="78">
        <f t="shared" si="45"/>
        <v>-33543.459999999992</v>
      </c>
      <c r="F190" s="78">
        <f t="shared" si="45"/>
        <v>-22218.379999999986</v>
      </c>
      <c r="G190" s="78">
        <f t="shared" si="45"/>
        <v>75742.42</v>
      </c>
      <c r="H190" s="78">
        <f t="shared" si="45"/>
        <v>391194.79</v>
      </c>
      <c r="I190" s="78">
        <f t="shared" si="45"/>
        <v>-26570.629999999976</v>
      </c>
      <c r="J190" s="78">
        <f t="shared" si="45"/>
        <v>29133.860000000015</v>
      </c>
      <c r="K190" s="78">
        <f t="shared" si="45"/>
        <v>12228.73</v>
      </c>
      <c r="L190" s="78">
        <f t="shared" si="45"/>
        <v>0</v>
      </c>
      <c r="M190" s="78">
        <f t="shared" si="45"/>
        <v>0</v>
      </c>
      <c r="N190" s="78">
        <f t="shared" si="45"/>
        <v>0</v>
      </c>
      <c r="O190" s="78">
        <f>(((((((((((C190)+(D190))+(E190))+(F190))+(G190))+(H190))+(I190))+(J190))+(K190))+(L190))+(M190))+(N190)</f>
        <v>424880.17000000004</v>
      </c>
    </row>
    <row r="191" spans="1:15" x14ac:dyDescent="0.3">
      <c r="B191" s="75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</row>
    <row r="194" spans="2:15" x14ac:dyDescent="0.3">
      <c r="B194" s="139" t="s">
        <v>408</v>
      </c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</row>
  </sheetData>
  <mergeCells count="4">
    <mergeCell ref="B1:O1"/>
    <mergeCell ref="B2:O2"/>
    <mergeCell ref="B3:O3"/>
    <mergeCell ref="B194:O194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06657-583C-4249-8BEC-76DAB6F52C4B}">
  <dimension ref="A1:O198"/>
  <sheetViews>
    <sheetView workbookViewId="0">
      <selection sqref="A1:A1048576"/>
    </sheetView>
  </sheetViews>
  <sheetFormatPr defaultColWidth="8.90625" defaultRowHeight="14.4" x14ac:dyDescent="0.3"/>
  <cols>
    <col min="1" max="1" width="4.81640625" style="71" customWidth="1"/>
    <col min="2" max="2" width="30.81640625" style="72" customWidth="1"/>
    <col min="3" max="14" width="8.81640625" style="72" customWidth="1"/>
    <col min="15" max="15" width="9.36328125" style="72" customWidth="1"/>
    <col min="16" max="16384" width="8.90625" style="72"/>
  </cols>
  <sheetData>
    <row r="1" spans="1:15" ht="17.399999999999999" x14ac:dyDescent="0.3">
      <c r="B1" s="136" t="s">
        <v>378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15" ht="17.399999999999999" x14ac:dyDescent="0.3">
      <c r="B2" s="136" t="s">
        <v>409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3" spans="1:15" x14ac:dyDescent="0.3">
      <c r="B3" s="138" t="s">
        <v>388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5" spans="1:15" x14ac:dyDescent="0.3">
      <c r="B5" s="73"/>
      <c r="C5" s="74" t="s">
        <v>390</v>
      </c>
      <c r="D5" s="74" t="s">
        <v>391</v>
      </c>
      <c r="E5" s="74" t="s">
        <v>392</v>
      </c>
      <c r="F5" s="74" t="s">
        <v>393</v>
      </c>
      <c r="G5" s="74" t="s">
        <v>394</v>
      </c>
      <c r="H5" s="74" t="s">
        <v>395</v>
      </c>
      <c r="I5" s="74" t="s">
        <v>396</v>
      </c>
      <c r="J5" s="74" t="s">
        <v>397</v>
      </c>
      <c r="K5" s="74" t="s">
        <v>398</v>
      </c>
      <c r="L5" s="74" t="s">
        <v>399</v>
      </c>
      <c r="M5" s="74" t="s">
        <v>400</v>
      </c>
      <c r="N5" s="74" t="s">
        <v>401</v>
      </c>
      <c r="O5" s="74" t="s">
        <v>185</v>
      </c>
    </row>
    <row r="6" spans="1:15" x14ac:dyDescent="0.3">
      <c r="A6" s="71" t="str">
        <f>IF(ISNUMBER(VALUE(LEFT(TRIM(B6),5))),VALUE(LEFT(TRIM(B6),4)),TRIM(B6))</f>
        <v>Revenue</v>
      </c>
      <c r="B6" s="75" t="s">
        <v>198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x14ac:dyDescent="0.3">
      <c r="A7" s="71" t="str">
        <f t="shared" ref="A7:A70" si="0">IF(ISNUMBER(VALUE(LEFT(TRIM(B7),5))),VALUE(LEFT(TRIM(B7),4)),TRIM(B7))</f>
        <v>10 Donations and Bequests</v>
      </c>
      <c r="B7" s="75" t="s">
        <v>199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7">
        <f t="shared" ref="O7:O57" si="1">(((((((((((C7)+(D7))+(E7))+(F7))+(G7))+(H7))+(I7))+(J7))+(K7))+(L7))+(M7))+(N7)</f>
        <v>0</v>
      </c>
    </row>
    <row r="8" spans="1:15" x14ac:dyDescent="0.3">
      <c r="A8" s="71">
        <f t="shared" si="0"/>
        <v>4046</v>
      </c>
      <c r="B8" s="75" t="s">
        <v>200</v>
      </c>
      <c r="C8" s="77">
        <f>4500</f>
        <v>4500</v>
      </c>
      <c r="D8" s="77">
        <f>4500</f>
        <v>4500</v>
      </c>
      <c r="E8" s="77">
        <f>4500</f>
        <v>4500</v>
      </c>
      <c r="F8" s="77">
        <f>4500</f>
        <v>4500</v>
      </c>
      <c r="G8" s="77">
        <f>4500</f>
        <v>4500</v>
      </c>
      <c r="H8" s="77">
        <f>4500</f>
        <v>4500</v>
      </c>
      <c r="I8" s="77">
        <f>4500</f>
        <v>4500</v>
      </c>
      <c r="J8" s="77">
        <f>4500</f>
        <v>4500</v>
      </c>
      <c r="K8" s="77">
        <f>4500</f>
        <v>4500</v>
      </c>
      <c r="L8" s="77">
        <f>4500</f>
        <v>4500</v>
      </c>
      <c r="M8" s="77">
        <f>4500</f>
        <v>4500</v>
      </c>
      <c r="N8" s="77">
        <f>4500</f>
        <v>4500</v>
      </c>
      <c r="O8" s="77">
        <f t="shared" si="1"/>
        <v>54000</v>
      </c>
    </row>
    <row r="9" spans="1:15" x14ac:dyDescent="0.3">
      <c r="A9" s="71">
        <f t="shared" si="0"/>
        <v>4310</v>
      </c>
      <c r="B9" s="75" t="s">
        <v>201</v>
      </c>
      <c r="C9" s="77">
        <f t="shared" ref="C9:M9" si="2">21416.67</f>
        <v>21416.67</v>
      </c>
      <c r="D9" s="77">
        <f t="shared" si="2"/>
        <v>21416.67</v>
      </c>
      <c r="E9" s="77">
        <f t="shared" si="2"/>
        <v>21416.67</v>
      </c>
      <c r="F9" s="77">
        <f t="shared" si="2"/>
        <v>21416.67</v>
      </c>
      <c r="G9" s="77">
        <f t="shared" si="2"/>
        <v>21416.67</v>
      </c>
      <c r="H9" s="77">
        <f t="shared" si="2"/>
        <v>21416.67</v>
      </c>
      <c r="I9" s="77">
        <f t="shared" si="2"/>
        <v>21416.67</v>
      </c>
      <c r="J9" s="77">
        <f t="shared" si="2"/>
        <v>21416.67</v>
      </c>
      <c r="K9" s="77">
        <f t="shared" si="2"/>
        <v>21416.67</v>
      </c>
      <c r="L9" s="77">
        <f t="shared" si="2"/>
        <v>21416.67</v>
      </c>
      <c r="M9" s="77">
        <f t="shared" si="2"/>
        <v>21416.67</v>
      </c>
      <c r="N9" s="77">
        <f>21416.63</f>
        <v>21416.63</v>
      </c>
      <c r="O9" s="77">
        <f t="shared" si="1"/>
        <v>256999.99999999994</v>
      </c>
    </row>
    <row r="10" spans="1:15" x14ac:dyDescent="0.3">
      <c r="A10" s="71">
        <f t="shared" si="0"/>
        <v>4315</v>
      </c>
      <c r="B10" s="75" t="s">
        <v>202</v>
      </c>
      <c r="C10" s="77">
        <f t="shared" ref="C10:M10" si="3">1666.67</f>
        <v>1666.67</v>
      </c>
      <c r="D10" s="77">
        <f t="shared" si="3"/>
        <v>1666.67</v>
      </c>
      <c r="E10" s="77">
        <f t="shared" si="3"/>
        <v>1666.67</v>
      </c>
      <c r="F10" s="77">
        <f t="shared" si="3"/>
        <v>1666.67</v>
      </c>
      <c r="G10" s="77">
        <f t="shared" si="3"/>
        <v>1666.67</v>
      </c>
      <c r="H10" s="77">
        <f t="shared" si="3"/>
        <v>1666.67</v>
      </c>
      <c r="I10" s="77">
        <f t="shared" si="3"/>
        <v>1666.67</v>
      </c>
      <c r="J10" s="77">
        <f t="shared" si="3"/>
        <v>1666.67</v>
      </c>
      <c r="K10" s="77">
        <f t="shared" si="3"/>
        <v>1666.67</v>
      </c>
      <c r="L10" s="77">
        <f t="shared" si="3"/>
        <v>1666.67</v>
      </c>
      <c r="M10" s="77">
        <f t="shared" si="3"/>
        <v>1666.67</v>
      </c>
      <c r="N10" s="77">
        <f>1666.63</f>
        <v>1666.63</v>
      </c>
      <c r="O10" s="77">
        <f t="shared" si="1"/>
        <v>20000.000000000004</v>
      </c>
    </row>
    <row r="11" spans="1:15" x14ac:dyDescent="0.3">
      <c r="A11" s="71">
        <f t="shared" si="0"/>
        <v>4330</v>
      </c>
      <c r="B11" s="75" t="s">
        <v>203</v>
      </c>
      <c r="C11" s="77">
        <f t="shared" ref="C11:M11" si="4">316.67</f>
        <v>316.67</v>
      </c>
      <c r="D11" s="77">
        <f t="shared" si="4"/>
        <v>316.67</v>
      </c>
      <c r="E11" s="77">
        <f t="shared" si="4"/>
        <v>316.67</v>
      </c>
      <c r="F11" s="77">
        <f t="shared" si="4"/>
        <v>316.67</v>
      </c>
      <c r="G11" s="77">
        <f t="shared" si="4"/>
        <v>316.67</v>
      </c>
      <c r="H11" s="77">
        <f t="shared" si="4"/>
        <v>316.67</v>
      </c>
      <c r="I11" s="77">
        <f t="shared" si="4"/>
        <v>316.67</v>
      </c>
      <c r="J11" s="77">
        <f t="shared" si="4"/>
        <v>316.67</v>
      </c>
      <c r="K11" s="77">
        <f t="shared" si="4"/>
        <v>316.67</v>
      </c>
      <c r="L11" s="77">
        <f t="shared" si="4"/>
        <v>316.67</v>
      </c>
      <c r="M11" s="77">
        <f t="shared" si="4"/>
        <v>316.67</v>
      </c>
      <c r="N11" s="77">
        <f>316.63</f>
        <v>316.63</v>
      </c>
      <c r="O11" s="77">
        <f t="shared" si="1"/>
        <v>3800.0000000000005</v>
      </c>
    </row>
    <row r="12" spans="1:15" x14ac:dyDescent="0.3">
      <c r="A12" s="71">
        <f t="shared" si="0"/>
        <v>4336</v>
      </c>
      <c r="B12" s="75" t="s">
        <v>204</v>
      </c>
      <c r="C12" s="77">
        <f>1625</f>
        <v>1625</v>
      </c>
      <c r="D12" s="77">
        <f>1625</f>
        <v>1625</v>
      </c>
      <c r="E12" s="77">
        <f>1625</f>
        <v>1625</v>
      </c>
      <c r="F12" s="77">
        <f>1625</f>
        <v>1625</v>
      </c>
      <c r="G12" s="77">
        <f>1625</f>
        <v>1625</v>
      </c>
      <c r="H12" s="77">
        <f>1625</f>
        <v>1625</v>
      </c>
      <c r="I12" s="77">
        <f>1625</f>
        <v>1625</v>
      </c>
      <c r="J12" s="77">
        <f>1625</f>
        <v>1625</v>
      </c>
      <c r="K12" s="77">
        <f>1625</f>
        <v>1625</v>
      </c>
      <c r="L12" s="77">
        <f>1625</f>
        <v>1625</v>
      </c>
      <c r="M12" s="77">
        <f>1625</f>
        <v>1625</v>
      </c>
      <c r="N12" s="77">
        <f>1625</f>
        <v>1625</v>
      </c>
      <c r="O12" s="77">
        <f t="shared" si="1"/>
        <v>19500</v>
      </c>
    </row>
    <row r="13" spans="1:15" x14ac:dyDescent="0.3">
      <c r="A13" s="71">
        <f t="shared" si="0"/>
        <v>4337</v>
      </c>
      <c r="B13" s="75" t="s">
        <v>205</v>
      </c>
      <c r="C13" s="77">
        <f t="shared" ref="C13:M13" si="5">291.67</f>
        <v>291.67</v>
      </c>
      <c r="D13" s="77">
        <f t="shared" si="5"/>
        <v>291.67</v>
      </c>
      <c r="E13" s="77">
        <f t="shared" si="5"/>
        <v>291.67</v>
      </c>
      <c r="F13" s="77">
        <f t="shared" si="5"/>
        <v>291.67</v>
      </c>
      <c r="G13" s="77">
        <f t="shared" si="5"/>
        <v>291.67</v>
      </c>
      <c r="H13" s="77">
        <f t="shared" si="5"/>
        <v>291.67</v>
      </c>
      <c r="I13" s="77">
        <f t="shared" si="5"/>
        <v>291.67</v>
      </c>
      <c r="J13" s="77">
        <f t="shared" si="5"/>
        <v>291.67</v>
      </c>
      <c r="K13" s="77">
        <f t="shared" si="5"/>
        <v>291.67</v>
      </c>
      <c r="L13" s="77">
        <f t="shared" si="5"/>
        <v>291.67</v>
      </c>
      <c r="M13" s="77">
        <f t="shared" si="5"/>
        <v>291.67</v>
      </c>
      <c r="N13" s="77">
        <f>291.63</f>
        <v>291.63</v>
      </c>
      <c r="O13" s="77">
        <f t="shared" si="1"/>
        <v>3500.0000000000005</v>
      </c>
    </row>
    <row r="14" spans="1:15" x14ac:dyDescent="0.3">
      <c r="A14" s="71">
        <f t="shared" si="0"/>
        <v>4345</v>
      </c>
      <c r="B14" s="75" t="s">
        <v>206</v>
      </c>
      <c r="C14" s="77">
        <f>0</f>
        <v>0</v>
      </c>
      <c r="D14" s="77">
        <f>0</f>
        <v>0</v>
      </c>
      <c r="E14" s="77">
        <f>0</f>
        <v>0</v>
      </c>
      <c r="F14" s="77">
        <f>0</f>
        <v>0</v>
      </c>
      <c r="G14" s="77">
        <f>13000</f>
        <v>13000</v>
      </c>
      <c r="H14" s="77">
        <f>48750</f>
        <v>48750</v>
      </c>
      <c r="I14" s="77">
        <f>3250</f>
        <v>3250</v>
      </c>
      <c r="J14" s="77">
        <f>0</f>
        <v>0</v>
      </c>
      <c r="K14" s="77">
        <f>0</f>
        <v>0</v>
      </c>
      <c r="L14" s="77">
        <f>0</f>
        <v>0</v>
      </c>
      <c r="M14" s="77">
        <f>0</f>
        <v>0</v>
      </c>
      <c r="N14" s="77">
        <f>0</f>
        <v>0</v>
      </c>
      <c r="O14" s="77">
        <f t="shared" si="1"/>
        <v>65000</v>
      </c>
    </row>
    <row r="15" spans="1:15" x14ac:dyDescent="0.3">
      <c r="A15" s="71">
        <f t="shared" si="0"/>
        <v>4351</v>
      </c>
      <c r="B15" s="75" t="s">
        <v>207</v>
      </c>
      <c r="C15" s="77">
        <f>3875</f>
        <v>3875</v>
      </c>
      <c r="D15" s="77">
        <f>3875</f>
        <v>3875</v>
      </c>
      <c r="E15" s="77">
        <f>3875</f>
        <v>3875</v>
      </c>
      <c r="F15" s="77">
        <f>3875</f>
        <v>3875</v>
      </c>
      <c r="G15" s="77">
        <f>3875</f>
        <v>3875</v>
      </c>
      <c r="H15" s="77">
        <f>3875</f>
        <v>3875</v>
      </c>
      <c r="I15" s="77">
        <f>3875</f>
        <v>3875</v>
      </c>
      <c r="J15" s="77">
        <f>3875</f>
        <v>3875</v>
      </c>
      <c r="K15" s="77">
        <f>3875</f>
        <v>3875</v>
      </c>
      <c r="L15" s="77">
        <f>3875</f>
        <v>3875</v>
      </c>
      <c r="M15" s="77">
        <f>3875</f>
        <v>3875</v>
      </c>
      <c r="N15" s="77">
        <f>3875</f>
        <v>3875</v>
      </c>
      <c r="O15" s="77">
        <f t="shared" si="1"/>
        <v>46500</v>
      </c>
    </row>
    <row r="16" spans="1:15" x14ac:dyDescent="0.3">
      <c r="A16" s="71" t="str">
        <f t="shared" si="0"/>
        <v>Total 10 Donations and Bequests</v>
      </c>
      <c r="B16" s="75" t="s">
        <v>208</v>
      </c>
      <c r="C16" s="78">
        <f t="shared" ref="C16:N16" si="6">((((((((C7)+(C8))+(C9))+(C10))+(C11))+(C12))+(C13))+(C14))+(C15)</f>
        <v>33691.679999999993</v>
      </c>
      <c r="D16" s="78">
        <f t="shared" si="6"/>
        <v>33691.679999999993</v>
      </c>
      <c r="E16" s="78">
        <f t="shared" si="6"/>
        <v>33691.679999999993</v>
      </c>
      <c r="F16" s="78">
        <f t="shared" si="6"/>
        <v>33691.679999999993</v>
      </c>
      <c r="G16" s="78">
        <f t="shared" si="6"/>
        <v>46691.679999999993</v>
      </c>
      <c r="H16" s="78">
        <f t="shared" si="6"/>
        <v>82441.679999999993</v>
      </c>
      <c r="I16" s="78">
        <f t="shared" si="6"/>
        <v>36941.679999999993</v>
      </c>
      <c r="J16" s="78">
        <f t="shared" si="6"/>
        <v>33691.679999999993</v>
      </c>
      <c r="K16" s="78">
        <f t="shared" si="6"/>
        <v>33691.679999999993</v>
      </c>
      <c r="L16" s="78">
        <f t="shared" si="6"/>
        <v>33691.679999999993</v>
      </c>
      <c r="M16" s="78">
        <f t="shared" si="6"/>
        <v>33691.679999999993</v>
      </c>
      <c r="N16" s="78">
        <f t="shared" si="6"/>
        <v>33691.520000000004</v>
      </c>
      <c r="O16" s="78">
        <f t="shared" si="1"/>
        <v>469299.99999999994</v>
      </c>
    </row>
    <row r="17" spans="1:15" x14ac:dyDescent="0.3">
      <c r="A17" s="71" t="str">
        <f t="shared" si="0"/>
        <v>20 Passionist Conducted Retreats</v>
      </c>
      <c r="B17" s="75" t="s">
        <v>209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7">
        <f t="shared" si="1"/>
        <v>0</v>
      </c>
    </row>
    <row r="18" spans="1:15" x14ac:dyDescent="0.3">
      <c r="A18" s="71">
        <f t="shared" si="0"/>
        <v>4405</v>
      </c>
      <c r="B18" s="75" t="s">
        <v>210</v>
      </c>
      <c r="C18" s="77">
        <f>0</f>
        <v>0</v>
      </c>
      <c r="D18" s="77">
        <f>0</f>
        <v>0</v>
      </c>
      <c r="E18" s="77">
        <f>30000</f>
        <v>30000</v>
      </c>
      <c r="F18" s="77">
        <f>30000</f>
        <v>30000</v>
      </c>
      <c r="G18" s="77">
        <f>30000</f>
        <v>30000</v>
      </c>
      <c r="H18" s="77">
        <f>30000</f>
        <v>30000</v>
      </c>
      <c r="I18" s="77">
        <f>30000</f>
        <v>30000</v>
      </c>
      <c r="J18" s="77">
        <f>30000</f>
        <v>30000</v>
      </c>
      <c r="K18" s="77">
        <f>30000</f>
        <v>30000</v>
      </c>
      <c r="L18" s="77">
        <f>30000</f>
        <v>30000</v>
      </c>
      <c r="M18" s="77">
        <f>0</f>
        <v>0</v>
      </c>
      <c r="N18" s="77">
        <f>0</f>
        <v>0</v>
      </c>
      <c r="O18" s="77">
        <f t="shared" si="1"/>
        <v>240000</v>
      </c>
    </row>
    <row r="19" spans="1:15" x14ac:dyDescent="0.3">
      <c r="A19" s="71">
        <f t="shared" si="0"/>
        <v>4410</v>
      </c>
      <c r="B19" s="75" t="s">
        <v>211</v>
      </c>
      <c r="C19" s="77">
        <f>0</f>
        <v>0</v>
      </c>
      <c r="D19" s="77">
        <f>0</f>
        <v>0</v>
      </c>
      <c r="E19" s="77">
        <f t="shared" ref="E19:L19" si="7">16666.67</f>
        <v>16666.669999999998</v>
      </c>
      <c r="F19" s="77">
        <f t="shared" si="7"/>
        <v>16666.669999999998</v>
      </c>
      <c r="G19" s="77">
        <f t="shared" si="7"/>
        <v>16666.669999999998</v>
      </c>
      <c r="H19" s="77">
        <f t="shared" si="7"/>
        <v>16666.669999999998</v>
      </c>
      <c r="I19" s="77">
        <f t="shared" si="7"/>
        <v>16666.669999999998</v>
      </c>
      <c r="J19" s="77">
        <f t="shared" si="7"/>
        <v>16666.669999999998</v>
      </c>
      <c r="K19" s="77">
        <f t="shared" si="7"/>
        <v>16666.669999999998</v>
      </c>
      <c r="L19" s="77">
        <f t="shared" si="7"/>
        <v>16666.669999999998</v>
      </c>
      <c r="M19" s="77">
        <f>16666.64</f>
        <v>16666.64</v>
      </c>
      <c r="N19" s="77">
        <f>0</f>
        <v>0</v>
      </c>
      <c r="O19" s="77">
        <f t="shared" si="1"/>
        <v>150000</v>
      </c>
    </row>
    <row r="20" spans="1:15" x14ac:dyDescent="0.3">
      <c r="A20" s="71" t="str">
        <f t="shared" si="0"/>
        <v>Total 20 Passionist Conducted Retreats</v>
      </c>
      <c r="B20" s="75" t="s">
        <v>213</v>
      </c>
      <c r="C20" s="78">
        <f t="shared" ref="C20:N20" si="8">((C17)+(C18))+(C19)</f>
        <v>0</v>
      </c>
      <c r="D20" s="78">
        <f t="shared" si="8"/>
        <v>0</v>
      </c>
      <c r="E20" s="78">
        <f t="shared" si="8"/>
        <v>46666.67</v>
      </c>
      <c r="F20" s="78">
        <f t="shared" si="8"/>
        <v>46666.67</v>
      </c>
      <c r="G20" s="78">
        <f t="shared" si="8"/>
        <v>46666.67</v>
      </c>
      <c r="H20" s="78">
        <f t="shared" si="8"/>
        <v>46666.67</v>
      </c>
      <c r="I20" s="78">
        <f t="shared" si="8"/>
        <v>46666.67</v>
      </c>
      <c r="J20" s="78">
        <f t="shared" si="8"/>
        <v>46666.67</v>
      </c>
      <c r="K20" s="78">
        <f t="shared" si="8"/>
        <v>46666.67</v>
      </c>
      <c r="L20" s="78">
        <f t="shared" si="8"/>
        <v>46666.67</v>
      </c>
      <c r="M20" s="78">
        <f t="shared" si="8"/>
        <v>16666.64</v>
      </c>
      <c r="N20" s="78">
        <f t="shared" si="8"/>
        <v>0</v>
      </c>
      <c r="O20" s="78">
        <f t="shared" si="1"/>
        <v>389999.99999999994</v>
      </c>
    </row>
    <row r="21" spans="1:15" x14ac:dyDescent="0.3">
      <c r="A21" s="71" t="str">
        <f t="shared" si="0"/>
        <v>30 Other Retreats and Programs</v>
      </c>
      <c r="B21" s="75" t="s">
        <v>214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7">
        <f t="shared" si="1"/>
        <v>0</v>
      </c>
    </row>
    <row r="22" spans="1:15" x14ac:dyDescent="0.3">
      <c r="A22" s="71">
        <f t="shared" si="0"/>
        <v>4460</v>
      </c>
      <c r="B22" s="75" t="s">
        <v>215</v>
      </c>
      <c r="C22" s="77">
        <f t="shared" ref="C22:M22" si="9">666.67</f>
        <v>666.67</v>
      </c>
      <c r="D22" s="77">
        <f t="shared" si="9"/>
        <v>666.67</v>
      </c>
      <c r="E22" s="77">
        <f t="shared" si="9"/>
        <v>666.67</v>
      </c>
      <c r="F22" s="77">
        <f t="shared" si="9"/>
        <v>666.67</v>
      </c>
      <c r="G22" s="77">
        <f t="shared" si="9"/>
        <v>666.67</v>
      </c>
      <c r="H22" s="77">
        <f t="shared" si="9"/>
        <v>666.67</v>
      </c>
      <c r="I22" s="77">
        <f t="shared" si="9"/>
        <v>666.67</v>
      </c>
      <c r="J22" s="77">
        <f t="shared" si="9"/>
        <v>666.67</v>
      </c>
      <c r="K22" s="77">
        <f t="shared" si="9"/>
        <v>666.67</v>
      </c>
      <c r="L22" s="77">
        <f t="shared" si="9"/>
        <v>666.67</v>
      </c>
      <c r="M22" s="77">
        <f t="shared" si="9"/>
        <v>666.67</v>
      </c>
      <c r="N22" s="77">
        <f>666.63</f>
        <v>666.63</v>
      </c>
      <c r="O22" s="77">
        <f t="shared" si="1"/>
        <v>8000</v>
      </c>
    </row>
    <row r="23" spans="1:15" x14ac:dyDescent="0.3">
      <c r="A23" s="71">
        <f t="shared" si="0"/>
        <v>4481</v>
      </c>
      <c r="B23" s="75" t="s">
        <v>216</v>
      </c>
      <c r="C23" s="77">
        <f t="shared" ref="C23:M23" si="10">583.33</f>
        <v>583.33000000000004</v>
      </c>
      <c r="D23" s="77">
        <f t="shared" si="10"/>
        <v>583.33000000000004</v>
      </c>
      <c r="E23" s="77">
        <f t="shared" si="10"/>
        <v>583.33000000000004</v>
      </c>
      <c r="F23" s="77">
        <f t="shared" si="10"/>
        <v>583.33000000000004</v>
      </c>
      <c r="G23" s="77">
        <f t="shared" si="10"/>
        <v>583.33000000000004</v>
      </c>
      <c r="H23" s="77">
        <f t="shared" si="10"/>
        <v>583.33000000000004</v>
      </c>
      <c r="I23" s="77">
        <f t="shared" si="10"/>
        <v>583.33000000000004</v>
      </c>
      <c r="J23" s="77">
        <f t="shared" si="10"/>
        <v>583.33000000000004</v>
      </c>
      <c r="K23" s="77">
        <f t="shared" si="10"/>
        <v>583.33000000000004</v>
      </c>
      <c r="L23" s="77">
        <f t="shared" si="10"/>
        <v>583.33000000000004</v>
      </c>
      <c r="M23" s="77">
        <f t="shared" si="10"/>
        <v>583.33000000000004</v>
      </c>
      <c r="N23" s="77">
        <f>583.37</f>
        <v>583.37</v>
      </c>
      <c r="O23" s="77">
        <f t="shared" si="1"/>
        <v>7000</v>
      </c>
    </row>
    <row r="24" spans="1:15" x14ac:dyDescent="0.3">
      <c r="A24" s="71">
        <f t="shared" si="0"/>
        <v>4550</v>
      </c>
      <c r="B24" s="75" t="s">
        <v>217</v>
      </c>
      <c r="C24" s="77">
        <f t="shared" ref="C24:M24" si="11">208.33</f>
        <v>208.33</v>
      </c>
      <c r="D24" s="77">
        <f t="shared" si="11"/>
        <v>208.33</v>
      </c>
      <c r="E24" s="77">
        <f t="shared" si="11"/>
        <v>208.33</v>
      </c>
      <c r="F24" s="77">
        <f t="shared" si="11"/>
        <v>208.33</v>
      </c>
      <c r="G24" s="77">
        <f t="shared" si="11"/>
        <v>208.33</v>
      </c>
      <c r="H24" s="77">
        <f t="shared" si="11"/>
        <v>208.33</v>
      </c>
      <c r="I24" s="77">
        <f t="shared" si="11"/>
        <v>208.33</v>
      </c>
      <c r="J24" s="77">
        <f t="shared" si="11"/>
        <v>208.33</v>
      </c>
      <c r="K24" s="77">
        <f t="shared" si="11"/>
        <v>208.33</v>
      </c>
      <c r="L24" s="77">
        <f t="shared" si="11"/>
        <v>208.33</v>
      </c>
      <c r="M24" s="77">
        <f t="shared" si="11"/>
        <v>208.33</v>
      </c>
      <c r="N24" s="77">
        <f>208.37</f>
        <v>208.37</v>
      </c>
      <c r="O24" s="77">
        <f t="shared" si="1"/>
        <v>2499.9999999999995</v>
      </c>
    </row>
    <row r="25" spans="1:15" x14ac:dyDescent="0.3">
      <c r="A25" s="71">
        <f t="shared" si="0"/>
        <v>4560</v>
      </c>
      <c r="B25" s="75" t="s">
        <v>218</v>
      </c>
      <c r="C25" s="77">
        <f t="shared" ref="C25:M25" si="12">333.33</f>
        <v>333.33</v>
      </c>
      <c r="D25" s="77">
        <f t="shared" si="12"/>
        <v>333.33</v>
      </c>
      <c r="E25" s="77">
        <f t="shared" si="12"/>
        <v>333.33</v>
      </c>
      <c r="F25" s="77">
        <f t="shared" si="12"/>
        <v>333.33</v>
      </c>
      <c r="G25" s="77">
        <f t="shared" si="12"/>
        <v>333.33</v>
      </c>
      <c r="H25" s="77">
        <f t="shared" si="12"/>
        <v>333.33</v>
      </c>
      <c r="I25" s="77">
        <f t="shared" si="12"/>
        <v>333.33</v>
      </c>
      <c r="J25" s="77">
        <f t="shared" si="12"/>
        <v>333.33</v>
      </c>
      <c r="K25" s="77">
        <f t="shared" si="12"/>
        <v>333.33</v>
      </c>
      <c r="L25" s="77">
        <f t="shared" si="12"/>
        <v>333.33</v>
      </c>
      <c r="M25" s="77">
        <f t="shared" si="12"/>
        <v>333.33</v>
      </c>
      <c r="N25" s="77">
        <f>333.37</f>
        <v>333.37</v>
      </c>
      <c r="O25" s="77">
        <f t="shared" si="1"/>
        <v>3999.9999999999995</v>
      </c>
    </row>
    <row r="26" spans="1:15" x14ac:dyDescent="0.3">
      <c r="A26" s="71" t="str">
        <f t="shared" si="0"/>
        <v>Total 30 Other Retreats and Programs</v>
      </c>
      <c r="B26" s="75" t="s">
        <v>219</v>
      </c>
      <c r="C26" s="78">
        <f t="shared" ref="C26:N26" si="13">((((C21)+(C22))+(C23))+(C24))+(C25)</f>
        <v>1791.6599999999999</v>
      </c>
      <c r="D26" s="78">
        <f t="shared" si="13"/>
        <v>1791.6599999999999</v>
      </c>
      <c r="E26" s="78">
        <f t="shared" si="13"/>
        <v>1791.6599999999999</v>
      </c>
      <c r="F26" s="78">
        <f t="shared" si="13"/>
        <v>1791.6599999999999</v>
      </c>
      <c r="G26" s="78">
        <f t="shared" si="13"/>
        <v>1791.6599999999999</v>
      </c>
      <c r="H26" s="78">
        <f t="shared" si="13"/>
        <v>1791.6599999999999</v>
      </c>
      <c r="I26" s="78">
        <f t="shared" si="13"/>
        <v>1791.6599999999999</v>
      </c>
      <c r="J26" s="78">
        <f t="shared" si="13"/>
        <v>1791.6599999999999</v>
      </c>
      <c r="K26" s="78">
        <f t="shared" si="13"/>
        <v>1791.6599999999999</v>
      </c>
      <c r="L26" s="78">
        <f t="shared" si="13"/>
        <v>1791.6599999999999</v>
      </c>
      <c r="M26" s="78">
        <f t="shared" si="13"/>
        <v>1791.6599999999999</v>
      </c>
      <c r="N26" s="78">
        <f t="shared" si="13"/>
        <v>1791.7399999999998</v>
      </c>
      <c r="O26" s="78">
        <f t="shared" si="1"/>
        <v>21500</v>
      </c>
    </row>
    <row r="27" spans="1:15" x14ac:dyDescent="0.3">
      <c r="A27" s="71" t="str">
        <f t="shared" si="0"/>
        <v>40 Hosted Programs</v>
      </c>
      <c r="B27" s="75" t="s">
        <v>220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7">
        <f t="shared" si="1"/>
        <v>0</v>
      </c>
    </row>
    <row r="28" spans="1:15" x14ac:dyDescent="0.3">
      <c r="A28" s="71" t="str">
        <f t="shared" si="0"/>
        <v>43 Hosted Programs - Overnight</v>
      </c>
      <c r="B28" s="75" t="s">
        <v>221</v>
      </c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7">
        <f t="shared" si="1"/>
        <v>0</v>
      </c>
    </row>
    <row r="29" spans="1:15" x14ac:dyDescent="0.3">
      <c r="A29" s="71">
        <f t="shared" si="0"/>
        <v>4505</v>
      </c>
      <c r="B29" s="75" t="s">
        <v>222</v>
      </c>
      <c r="C29" s="77">
        <f t="shared" ref="C29:M29" si="14">4740.67</f>
        <v>4740.67</v>
      </c>
      <c r="D29" s="77">
        <f t="shared" si="14"/>
        <v>4740.67</v>
      </c>
      <c r="E29" s="77">
        <f t="shared" si="14"/>
        <v>4740.67</v>
      </c>
      <c r="F29" s="77">
        <f t="shared" si="14"/>
        <v>4740.67</v>
      </c>
      <c r="G29" s="77">
        <f t="shared" si="14"/>
        <v>4740.67</v>
      </c>
      <c r="H29" s="77">
        <f t="shared" si="14"/>
        <v>4740.67</v>
      </c>
      <c r="I29" s="77">
        <f t="shared" si="14"/>
        <v>4740.67</v>
      </c>
      <c r="J29" s="77">
        <f t="shared" si="14"/>
        <v>4740.67</v>
      </c>
      <c r="K29" s="77">
        <f t="shared" si="14"/>
        <v>4740.67</v>
      </c>
      <c r="L29" s="77">
        <f t="shared" si="14"/>
        <v>4740.67</v>
      </c>
      <c r="M29" s="77">
        <f t="shared" si="14"/>
        <v>4740.67</v>
      </c>
      <c r="N29" s="77">
        <f>4740.63</f>
        <v>4740.63</v>
      </c>
      <c r="O29" s="77">
        <f t="shared" si="1"/>
        <v>56887.999999999985</v>
      </c>
    </row>
    <row r="30" spans="1:15" x14ac:dyDescent="0.3">
      <c r="A30" s="71">
        <f t="shared" si="0"/>
        <v>4510</v>
      </c>
      <c r="B30" s="75" t="s">
        <v>223</v>
      </c>
      <c r="C30" s="77">
        <f t="shared" ref="C30:M30" si="15">10819.08</f>
        <v>10819.08</v>
      </c>
      <c r="D30" s="77">
        <f t="shared" si="15"/>
        <v>10819.08</v>
      </c>
      <c r="E30" s="77">
        <f t="shared" si="15"/>
        <v>10819.08</v>
      </c>
      <c r="F30" s="77">
        <f t="shared" si="15"/>
        <v>10819.08</v>
      </c>
      <c r="G30" s="77">
        <f t="shared" si="15"/>
        <v>10819.08</v>
      </c>
      <c r="H30" s="77">
        <f t="shared" si="15"/>
        <v>10819.08</v>
      </c>
      <c r="I30" s="77">
        <f t="shared" si="15"/>
        <v>10819.08</v>
      </c>
      <c r="J30" s="77">
        <f t="shared" si="15"/>
        <v>10819.08</v>
      </c>
      <c r="K30" s="77">
        <f t="shared" si="15"/>
        <v>10819.08</v>
      </c>
      <c r="L30" s="77">
        <f t="shared" si="15"/>
        <v>10819.08</v>
      </c>
      <c r="M30" s="77">
        <f t="shared" si="15"/>
        <v>10819.08</v>
      </c>
      <c r="N30" s="77">
        <f>10819.12</f>
        <v>10819.12</v>
      </c>
      <c r="O30" s="77">
        <f t="shared" si="1"/>
        <v>129829</v>
      </c>
    </row>
    <row r="31" spans="1:15" x14ac:dyDescent="0.3">
      <c r="A31" s="71">
        <f t="shared" si="0"/>
        <v>4515</v>
      </c>
      <c r="B31" s="75" t="s">
        <v>224</v>
      </c>
      <c r="C31" s="77">
        <f t="shared" ref="C31:M31" si="16">9200.83</f>
        <v>9200.83</v>
      </c>
      <c r="D31" s="77">
        <f t="shared" si="16"/>
        <v>9200.83</v>
      </c>
      <c r="E31" s="77">
        <f t="shared" si="16"/>
        <v>9200.83</v>
      </c>
      <c r="F31" s="77">
        <f t="shared" si="16"/>
        <v>9200.83</v>
      </c>
      <c r="G31" s="77">
        <f t="shared" si="16"/>
        <v>9200.83</v>
      </c>
      <c r="H31" s="77">
        <f t="shared" si="16"/>
        <v>9200.83</v>
      </c>
      <c r="I31" s="77">
        <f t="shared" si="16"/>
        <v>9200.83</v>
      </c>
      <c r="J31" s="77">
        <f t="shared" si="16"/>
        <v>9200.83</v>
      </c>
      <c r="K31" s="77">
        <f t="shared" si="16"/>
        <v>9200.83</v>
      </c>
      <c r="L31" s="77">
        <f t="shared" si="16"/>
        <v>9200.83</v>
      </c>
      <c r="M31" s="77">
        <f t="shared" si="16"/>
        <v>9200.83</v>
      </c>
      <c r="N31" s="77">
        <f>9200.87</f>
        <v>9200.8700000000008</v>
      </c>
      <c r="O31" s="77">
        <f t="shared" si="1"/>
        <v>110410</v>
      </c>
    </row>
    <row r="32" spans="1:15" x14ac:dyDescent="0.3">
      <c r="A32" s="71" t="str">
        <f t="shared" si="0"/>
        <v>Total 43 Hosted Programs - Overnight</v>
      </c>
      <c r="B32" s="75" t="s">
        <v>225</v>
      </c>
      <c r="C32" s="78">
        <f t="shared" ref="C32:N32" si="17">(((C28)+(C29))+(C30))+(C31)</f>
        <v>24760.58</v>
      </c>
      <c r="D32" s="78">
        <f t="shared" si="17"/>
        <v>24760.58</v>
      </c>
      <c r="E32" s="78">
        <f t="shared" si="17"/>
        <v>24760.58</v>
      </c>
      <c r="F32" s="78">
        <f t="shared" si="17"/>
        <v>24760.58</v>
      </c>
      <c r="G32" s="78">
        <f t="shared" si="17"/>
        <v>24760.58</v>
      </c>
      <c r="H32" s="78">
        <f t="shared" si="17"/>
        <v>24760.58</v>
      </c>
      <c r="I32" s="78">
        <f t="shared" si="17"/>
        <v>24760.58</v>
      </c>
      <c r="J32" s="78">
        <f t="shared" si="17"/>
        <v>24760.58</v>
      </c>
      <c r="K32" s="78">
        <f t="shared" si="17"/>
        <v>24760.58</v>
      </c>
      <c r="L32" s="78">
        <f t="shared" si="17"/>
        <v>24760.58</v>
      </c>
      <c r="M32" s="78">
        <f t="shared" si="17"/>
        <v>24760.58</v>
      </c>
      <c r="N32" s="78">
        <f t="shared" si="17"/>
        <v>24760.620000000003</v>
      </c>
      <c r="O32" s="78">
        <f t="shared" si="1"/>
        <v>297127.00000000006</v>
      </c>
    </row>
    <row r="33" spans="1:15" x14ac:dyDescent="0.3">
      <c r="A33" s="71" t="str">
        <f t="shared" si="0"/>
        <v>45 Hosted Programs - Day</v>
      </c>
      <c r="B33" s="75" t="s">
        <v>226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7">
        <f t="shared" si="1"/>
        <v>0</v>
      </c>
    </row>
    <row r="34" spans="1:15" x14ac:dyDescent="0.3">
      <c r="A34" s="71">
        <f t="shared" si="0"/>
        <v>4535</v>
      </c>
      <c r="B34" s="75" t="s">
        <v>227</v>
      </c>
      <c r="C34" s="77">
        <f t="shared" ref="C34:N34" si="18">2909.5</f>
        <v>2909.5</v>
      </c>
      <c r="D34" s="77">
        <f t="shared" si="18"/>
        <v>2909.5</v>
      </c>
      <c r="E34" s="77">
        <f t="shared" si="18"/>
        <v>2909.5</v>
      </c>
      <c r="F34" s="77">
        <f t="shared" si="18"/>
        <v>2909.5</v>
      </c>
      <c r="G34" s="77">
        <f t="shared" si="18"/>
        <v>2909.5</v>
      </c>
      <c r="H34" s="77">
        <f t="shared" si="18"/>
        <v>2909.5</v>
      </c>
      <c r="I34" s="77">
        <f t="shared" si="18"/>
        <v>2909.5</v>
      </c>
      <c r="J34" s="77">
        <f t="shared" si="18"/>
        <v>2909.5</v>
      </c>
      <c r="K34" s="77">
        <f t="shared" si="18"/>
        <v>2909.5</v>
      </c>
      <c r="L34" s="77">
        <f t="shared" si="18"/>
        <v>2909.5</v>
      </c>
      <c r="M34" s="77">
        <f t="shared" si="18"/>
        <v>2909.5</v>
      </c>
      <c r="N34" s="77">
        <f t="shared" si="18"/>
        <v>2909.5</v>
      </c>
      <c r="O34" s="77">
        <f t="shared" si="1"/>
        <v>34914</v>
      </c>
    </row>
    <row r="35" spans="1:15" x14ac:dyDescent="0.3">
      <c r="A35" s="71">
        <f t="shared" si="0"/>
        <v>4540</v>
      </c>
      <c r="B35" s="75" t="s">
        <v>228</v>
      </c>
      <c r="C35" s="77">
        <f t="shared" ref="C35:M35" si="19">1293.33</f>
        <v>1293.33</v>
      </c>
      <c r="D35" s="77">
        <f t="shared" si="19"/>
        <v>1293.33</v>
      </c>
      <c r="E35" s="77">
        <f t="shared" si="19"/>
        <v>1293.33</v>
      </c>
      <c r="F35" s="77">
        <f t="shared" si="19"/>
        <v>1293.33</v>
      </c>
      <c r="G35" s="77">
        <f t="shared" si="19"/>
        <v>1293.33</v>
      </c>
      <c r="H35" s="77">
        <f t="shared" si="19"/>
        <v>1293.33</v>
      </c>
      <c r="I35" s="77">
        <f t="shared" si="19"/>
        <v>1293.33</v>
      </c>
      <c r="J35" s="77">
        <f t="shared" si="19"/>
        <v>1293.33</v>
      </c>
      <c r="K35" s="77">
        <f t="shared" si="19"/>
        <v>1293.33</v>
      </c>
      <c r="L35" s="77">
        <f t="shared" si="19"/>
        <v>1293.33</v>
      </c>
      <c r="M35" s="77">
        <f t="shared" si="19"/>
        <v>1293.33</v>
      </c>
      <c r="N35" s="77">
        <f>1293.37</f>
        <v>1293.3699999999999</v>
      </c>
      <c r="O35" s="77">
        <f t="shared" si="1"/>
        <v>15520</v>
      </c>
    </row>
    <row r="36" spans="1:15" x14ac:dyDescent="0.3">
      <c r="A36" s="71">
        <f t="shared" si="0"/>
        <v>4545</v>
      </c>
      <c r="B36" s="75" t="s">
        <v>229</v>
      </c>
      <c r="C36" s="77">
        <f t="shared" ref="C36:N36" si="20">642.5</f>
        <v>642.5</v>
      </c>
      <c r="D36" s="77">
        <f t="shared" si="20"/>
        <v>642.5</v>
      </c>
      <c r="E36" s="77">
        <f t="shared" si="20"/>
        <v>642.5</v>
      </c>
      <c r="F36" s="77">
        <f t="shared" si="20"/>
        <v>642.5</v>
      </c>
      <c r="G36" s="77">
        <f t="shared" si="20"/>
        <v>642.5</v>
      </c>
      <c r="H36" s="77">
        <f t="shared" si="20"/>
        <v>642.5</v>
      </c>
      <c r="I36" s="77">
        <f t="shared" si="20"/>
        <v>642.5</v>
      </c>
      <c r="J36" s="77">
        <f t="shared" si="20"/>
        <v>642.5</v>
      </c>
      <c r="K36" s="77">
        <f t="shared" si="20"/>
        <v>642.5</v>
      </c>
      <c r="L36" s="77">
        <f t="shared" si="20"/>
        <v>642.5</v>
      </c>
      <c r="M36" s="77">
        <f t="shared" si="20"/>
        <v>642.5</v>
      </c>
      <c r="N36" s="77">
        <f t="shared" si="20"/>
        <v>642.5</v>
      </c>
      <c r="O36" s="77">
        <f t="shared" si="1"/>
        <v>7710</v>
      </c>
    </row>
    <row r="37" spans="1:15" x14ac:dyDescent="0.3">
      <c r="A37" s="71">
        <f t="shared" si="0"/>
        <v>4548</v>
      </c>
      <c r="B37" s="75" t="s">
        <v>230</v>
      </c>
      <c r="C37" s="77">
        <f>25</f>
        <v>25</v>
      </c>
      <c r="D37" s="77">
        <f>25</f>
        <v>25</v>
      </c>
      <c r="E37" s="77">
        <f>25</f>
        <v>25</v>
      </c>
      <c r="F37" s="77">
        <f>25</f>
        <v>25</v>
      </c>
      <c r="G37" s="77">
        <f>25</f>
        <v>25</v>
      </c>
      <c r="H37" s="77">
        <f>25</f>
        <v>25</v>
      </c>
      <c r="I37" s="77">
        <f>25</f>
        <v>25</v>
      </c>
      <c r="J37" s="77">
        <f>25</f>
        <v>25</v>
      </c>
      <c r="K37" s="77">
        <f>25</f>
        <v>25</v>
      </c>
      <c r="L37" s="77">
        <f>25</f>
        <v>25</v>
      </c>
      <c r="M37" s="77">
        <f>25</f>
        <v>25</v>
      </c>
      <c r="N37" s="77">
        <f>25</f>
        <v>25</v>
      </c>
      <c r="O37" s="77">
        <f t="shared" si="1"/>
        <v>300</v>
      </c>
    </row>
    <row r="38" spans="1:15" x14ac:dyDescent="0.3">
      <c r="A38" s="71" t="str">
        <f t="shared" si="0"/>
        <v>Total 45 Hosted Programs - Day</v>
      </c>
      <c r="B38" s="75" t="s">
        <v>231</v>
      </c>
      <c r="C38" s="78">
        <f t="shared" ref="C38:N38" si="21">((((C33)+(C34))+(C35))+(C36))+(C37)</f>
        <v>4870.33</v>
      </c>
      <c r="D38" s="78">
        <f t="shared" si="21"/>
        <v>4870.33</v>
      </c>
      <c r="E38" s="78">
        <f t="shared" si="21"/>
        <v>4870.33</v>
      </c>
      <c r="F38" s="78">
        <f t="shared" si="21"/>
        <v>4870.33</v>
      </c>
      <c r="G38" s="78">
        <f t="shared" si="21"/>
        <v>4870.33</v>
      </c>
      <c r="H38" s="78">
        <f t="shared" si="21"/>
        <v>4870.33</v>
      </c>
      <c r="I38" s="78">
        <f t="shared" si="21"/>
        <v>4870.33</v>
      </c>
      <c r="J38" s="78">
        <f t="shared" si="21"/>
        <v>4870.33</v>
      </c>
      <c r="K38" s="78">
        <f t="shared" si="21"/>
        <v>4870.33</v>
      </c>
      <c r="L38" s="78">
        <f t="shared" si="21"/>
        <v>4870.33</v>
      </c>
      <c r="M38" s="78">
        <f t="shared" si="21"/>
        <v>4870.33</v>
      </c>
      <c r="N38" s="78">
        <f t="shared" si="21"/>
        <v>4870.37</v>
      </c>
      <c r="O38" s="78">
        <f t="shared" si="1"/>
        <v>58444.000000000015</v>
      </c>
    </row>
    <row r="39" spans="1:15" x14ac:dyDescent="0.3">
      <c r="A39" s="71" t="str">
        <f t="shared" si="0"/>
        <v>Total 40 Hosted Programs</v>
      </c>
      <c r="B39" s="75" t="s">
        <v>232</v>
      </c>
      <c r="C39" s="78">
        <f t="shared" ref="C39:N39" si="22">((C27)+(C32))+(C38)</f>
        <v>29630.910000000003</v>
      </c>
      <c r="D39" s="78">
        <f t="shared" si="22"/>
        <v>29630.910000000003</v>
      </c>
      <c r="E39" s="78">
        <f t="shared" si="22"/>
        <v>29630.910000000003</v>
      </c>
      <c r="F39" s="78">
        <f t="shared" si="22"/>
        <v>29630.910000000003</v>
      </c>
      <c r="G39" s="78">
        <f t="shared" si="22"/>
        <v>29630.910000000003</v>
      </c>
      <c r="H39" s="78">
        <f t="shared" si="22"/>
        <v>29630.910000000003</v>
      </c>
      <c r="I39" s="78">
        <f t="shared" si="22"/>
        <v>29630.910000000003</v>
      </c>
      <c r="J39" s="78">
        <f t="shared" si="22"/>
        <v>29630.910000000003</v>
      </c>
      <c r="K39" s="78">
        <f t="shared" si="22"/>
        <v>29630.910000000003</v>
      </c>
      <c r="L39" s="78">
        <f t="shared" si="22"/>
        <v>29630.910000000003</v>
      </c>
      <c r="M39" s="78">
        <f t="shared" si="22"/>
        <v>29630.910000000003</v>
      </c>
      <c r="N39" s="78">
        <f t="shared" si="22"/>
        <v>29630.99</v>
      </c>
      <c r="O39" s="78">
        <f t="shared" si="1"/>
        <v>355571.00000000012</v>
      </c>
    </row>
    <row r="40" spans="1:15" x14ac:dyDescent="0.3">
      <c r="A40" s="71" t="str">
        <f t="shared" si="0"/>
        <v>50 Gift Shop</v>
      </c>
      <c r="B40" s="75" t="s">
        <v>233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7">
        <f t="shared" si="1"/>
        <v>0</v>
      </c>
    </row>
    <row r="41" spans="1:15" x14ac:dyDescent="0.3">
      <c r="A41" s="71">
        <f t="shared" si="0"/>
        <v>4602</v>
      </c>
      <c r="B41" s="75" t="s">
        <v>234</v>
      </c>
      <c r="C41" s="77">
        <f t="shared" ref="C41:M41" si="23">66.67</f>
        <v>66.67</v>
      </c>
      <c r="D41" s="77">
        <f t="shared" si="23"/>
        <v>66.67</v>
      </c>
      <c r="E41" s="77">
        <f t="shared" si="23"/>
        <v>66.67</v>
      </c>
      <c r="F41" s="77">
        <f t="shared" si="23"/>
        <v>66.67</v>
      </c>
      <c r="G41" s="77">
        <f t="shared" si="23"/>
        <v>66.67</v>
      </c>
      <c r="H41" s="77">
        <f t="shared" si="23"/>
        <v>66.67</v>
      </c>
      <c r="I41" s="77">
        <f t="shared" si="23"/>
        <v>66.67</v>
      </c>
      <c r="J41" s="77">
        <f t="shared" si="23"/>
        <v>66.67</v>
      </c>
      <c r="K41" s="77">
        <f t="shared" si="23"/>
        <v>66.67</v>
      </c>
      <c r="L41" s="77">
        <f t="shared" si="23"/>
        <v>66.67</v>
      </c>
      <c r="M41" s="77">
        <f t="shared" si="23"/>
        <v>66.67</v>
      </c>
      <c r="N41" s="77">
        <f>66.63</f>
        <v>66.63</v>
      </c>
      <c r="O41" s="77">
        <f t="shared" si="1"/>
        <v>799.99999999999989</v>
      </c>
    </row>
    <row r="42" spans="1:15" x14ac:dyDescent="0.3">
      <c r="A42" s="71">
        <f t="shared" si="0"/>
        <v>4604</v>
      </c>
      <c r="B42" s="75" t="s">
        <v>235</v>
      </c>
      <c r="C42" s="77">
        <f>1125</f>
        <v>1125</v>
      </c>
      <c r="D42" s="77">
        <f>1125</f>
        <v>1125</v>
      </c>
      <c r="E42" s="77">
        <f>1125</f>
        <v>1125</v>
      </c>
      <c r="F42" s="77">
        <f>1125</f>
        <v>1125</v>
      </c>
      <c r="G42" s="77">
        <f>1125</f>
        <v>1125</v>
      </c>
      <c r="H42" s="77">
        <f>1125</f>
        <v>1125</v>
      </c>
      <c r="I42" s="77">
        <f>1125</f>
        <v>1125</v>
      </c>
      <c r="J42" s="77">
        <f>1125</f>
        <v>1125</v>
      </c>
      <c r="K42" s="77">
        <f>1125</f>
        <v>1125</v>
      </c>
      <c r="L42" s="77">
        <f>1125</f>
        <v>1125</v>
      </c>
      <c r="M42" s="77">
        <f>1125</f>
        <v>1125</v>
      </c>
      <c r="N42" s="77">
        <f>1125</f>
        <v>1125</v>
      </c>
      <c r="O42" s="77">
        <f t="shared" si="1"/>
        <v>13500</v>
      </c>
    </row>
    <row r="43" spans="1:15" x14ac:dyDescent="0.3">
      <c r="A43" s="71">
        <f t="shared" si="0"/>
        <v>4605</v>
      </c>
      <c r="B43" s="75" t="s">
        <v>236</v>
      </c>
      <c r="C43" s="77">
        <f>625</f>
        <v>625</v>
      </c>
      <c r="D43" s="77">
        <f>625</f>
        <v>625</v>
      </c>
      <c r="E43" s="77">
        <f>625</f>
        <v>625</v>
      </c>
      <c r="F43" s="77">
        <f>625</f>
        <v>625</v>
      </c>
      <c r="G43" s="77">
        <f>625</f>
        <v>625</v>
      </c>
      <c r="H43" s="77">
        <f>625</f>
        <v>625</v>
      </c>
      <c r="I43" s="77">
        <f>625</f>
        <v>625</v>
      </c>
      <c r="J43" s="77">
        <f>625</f>
        <v>625</v>
      </c>
      <c r="K43" s="77">
        <f>625</f>
        <v>625</v>
      </c>
      <c r="L43" s="77">
        <f>625</f>
        <v>625</v>
      </c>
      <c r="M43" s="77">
        <f>625</f>
        <v>625</v>
      </c>
      <c r="N43" s="77">
        <f>625</f>
        <v>625</v>
      </c>
      <c r="O43" s="77">
        <f t="shared" si="1"/>
        <v>7500</v>
      </c>
    </row>
    <row r="44" spans="1:15" x14ac:dyDescent="0.3">
      <c r="A44" s="71" t="str">
        <f t="shared" si="0"/>
        <v>Total 50 Gift Shop</v>
      </c>
      <c r="B44" s="75" t="s">
        <v>237</v>
      </c>
      <c r="C44" s="78">
        <f t="shared" ref="C44:N44" si="24">(((C40)+(C41))+(C42))+(C43)</f>
        <v>1816.67</v>
      </c>
      <c r="D44" s="78">
        <f t="shared" si="24"/>
        <v>1816.67</v>
      </c>
      <c r="E44" s="78">
        <f t="shared" si="24"/>
        <v>1816.67</v>
      </c>
      <c r="F44" s="78">
        <f t="shared" si="24"/>
        <v>1816.67</v>
      </c>
      <c r="G44" s="78">
        <f t="shared" si="24"/>
        <v>1816.67</v>
      </c>
      <c r="H44" s="78">
        <f t="shared" si="24"/>
        <v>1816.67</v>
      </c>
      <c r="I44" s="78">
        <f t="shared" si="24"/>
        <v>1816.67</v>
      </c>
      <c r="J44" s="78">
        <f t="shared" si="24"/>
        <v>1816.67</v>
      </c>
      <c r="K44" s="78">
        <f t="shared" si="24"/>
        <v>1816.67</v>
      </c>
      <c r="L44" s="78">
        <f t="shared" si="24"/>
        <v>1816.67</v>
      </c>
      <c r="M44" s="78">
        <f t="shared" si="24"/>
        <v>1816.67</v>
      </c>
      <c r="N44" s="78">
        <f t="shared" si="24"/>
        <v>1816.63</v>
      </c>
      <c r="O44" s="78">
        <f t="shared" si="1"/>
        <v>21800.000000000004</v>
      </c>
    </row>
    <row r="45" spans="1:15" x14ac:dyDescent="0.3">
      <c r="A45" s="71" t="str">
        <f t="shared" si="0"/>
        <v>60 Other Income</v>
      </c>
      <c r="B45" s="75" t="s">
        <v>238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7">
        <f t="shared" si="1"/>
        <v>0</v>
      </c>
    </row>
    <row r="46" spans="1:15" x14ac:dyDescent="0.3">
      <c r="A46" s="71" t="str">
        <f t="shared" si="0"/>
        <v>63 Special Events</v>
      </c>
      <c r="B46" s="75" t="s">
        <v>239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>
        <f t="shared" si="1"/>
        <v>0</v>
      </c>
    </row>
    <row r="47" spans="1:15" x14ac:dyDescent="0.3">
      <c r="A47" s="71">
        <f t="shared" si="0"/>
        <v>4350</v>
      </c>
      <c r="B47" s="75" t="s">
        <v>240</v>
      </c>
      <c r="C47" s="77">
        <f>48000</f>
        <v>48000</v>
      </c>
      <c r="D47" s="77">
        <f>0</f>
        <v>0</v>
      </c>
      <c r="E47" s="77">
        <f>0</f>
        <v>0</v>
      </c>
      <c r="F47" s="77">
        <f>0</f>
        <v>0</v>
      </c>
      <c r="G47" s="77">
        <f>0</f>
        <v>0</v>
      </c>
      <c r="H47" s="77">
        <f>0</f>
        <v>0</v>
      </c>
      <c r="I47" s="77">
        <f>0</f>
        <v>0</v>
      </c>
      <c r="J47" s="77">
        <f>0</f>
        <v>0</v>
      </c>
      <c r="K47" s="77">
        <f>0</f>
        <v>0</v>
      </c>
      <c r="L47" s="77">
        <f>0</f>
        <v>0</v>
      </c>
      <c r="M47" s="77">
        <f>0</f>
        <v>0</v>
      </c>
      <c r="N47" s="77">
        <f>0</f>
        <v>0</v>
      </c>
      <c r="O47" s="77">
        <f t="shared" si="1"/>
        <v>48000</v>
      </c>
    </row>
    <row r="48" spans="1:15" x14ac:dyDescent="0.3">
      <c r="A48" s="71">
        <f t="shared" si="0"/>
        <v>4620</v>
      </c>
      <c r="B48" s="75" t="s">
        <v>402</v>
      </c>
      <c r="C48" s="77">
        <f>0</f>
        <v>0</v>
      </c>
      <c r="D48" s="77">
        <f>0</f>
        <v>0</v>
      </c>
      <c r="E48" s="77">
        <f>0</f>
        <v>0</v>
      </c>
      <c r="F48" s="77">
        <f>5000</f>
        <v>5000</v>
      </c>
      <c r="G48" s="77">
        <f>0</f>
        <v>0</v>
      </c>
      <c r="H48" s="77">
        <f>0</f>
        <v>0</v>
      </c>
      <c r="I48" s="77">
        <f>0</f>
        <v>0</v>
      </c>
      <c r="J48" s="77">
        <f>5000</f>
        <v>5000</v>
      </c>
      <c r="K48" s="77">
        <f>0</f>
        <v>0</v>
      </c>
      <c r="L48" s="77">
        <f>0</f>
        <v>0</v>
      </c>
      <c r="M48" s="77">
        <f>0</f>
        <v>0</v>
      </c>
      <c r="N48" s="77">
        <f>0</f>
        <v>0</v>
      </c>
      <c r="O48" s="77">
        <f t="shared" si="1"/>
        <v>10000</v>
      </c>
    </row>
    <row r="49" spans="1:15" x14ac:dyDescent="0.3">
      <c r="A49" s="71">
        <f t="shared" si="0"/>
        <v>4661</v>
      </c>
      <c r="B49" s="75" t="s">
        <v>241</v>
      </c>
      <c r="C49" s="77">
        <f>4000</f>
        <v>4000</v>
      </c>
      <c r="D49" s="77">
        <f>0</f>
        <v>0</v>
      </c>
      <c r="E49" s="77">
        <f>0</f>
        <v>0</v>
      </c>
      <c r="F49" s="77">
        <f>0</f>
        <v>0</v>
      </c>
      <c r="G49" s="77">
        <f>0</f>
        <v>0</v>
      </c>
      <c r="H49" s="77">
        <f>0</f>
        <v>0</v>
      </c>
      <c r="I49" s="77">
        <f>0</f>
        <v>0</v>
      </c>
      <c r="J49" s="77">
        <f>0</f>
        <v>0</v>
      </c>
      <c r="K49" s="77">
        <f>0</f>
        <v>0</v>
      </c>
      <c r="L49" s="77">
        <f>0</f>
        <v>0</v>
      </c>
      <c r="M49" s="77">
        <f>0</f>
        <v>0</v>
      </c>
      <c r="N49" s="77">
        <f>0</f>
        <v>0</v>
      </c>
      <c r="O49" s="77">
        <f t="shared" si="1"/>
        <v>4000</v>
      </c>
    </row>
    <row r="50" spans="1:15" x14ac:dyDescent="0.3">
      <c r="A50" s="71" t="str">
        <f t="shared" si="0"/>
        <v>Total 63 Special Events</v>
      </c>
      <c r="B50" s="75" t="s">
        <v>242</v>
      </c>
      <c r="C50" s="78">
        <f t="shared" ref="C50:N50" si="25">(((C46)+(C47))+(C48))+(C49)</f>
        <v>52000</v>
      </c>
      <c r="D50" s="78">
        <f t="shared" si="25"/>
        <v>0</v>
      </c>
      <c r="E50" s="78">
        <f t="shared" si="25"/>
        <v>0</v>
      </c>
      <c r="F50" s="78">
        <f t="shared" si="25"/>
        <v>5000</v>
      </c>
      <c r="G50" s="78">
        <f t="shared" si="25"/>
        <v>0</v>
      </c>
      <c r="H50" s="78">
        <f t="shared" si="25"/>
        <v>0</v>
      </c>
      <c r="I50" s="78">
        <f t="shared" si="25"/>
        <v>0</v>
      </c>
      <c r="J50" s="78">
        <f t="shared" si="25"/>
        <v>5000</v>
      </c>
      <c r="K50" s="78">
        <f t="shared" si="25"/>
        <v>0</v>
      </c>
      <c r="L50" s="78">
        <f t="shared" si="25"/>
        <v>0</v>
      </c>
      <c r="M50" s="78">
        <f t="shared" si="25"/>
        <v>0</v>
      </c>
      <c r="N50" s="78">
        <f t="shared" si="25"/>
        <v>0</v>
      </c>
      <c r="O50" s="78">
        <f t="shared" si="1"/>
        <v>62000</v>
      </c>
    </row>
    <row r="51" spans="1:15" x14ac:dyDescent="0.3">
      <c r="A51" s="71" t="str">
        <f t="shared" si="0"/>
        <v>65 Other Income</v>
      </c>
      <c r="B51" s="75" t="s">
        <v>243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>
        <f t="shared" si="1"/>
        <v>0</v>
      </c>
    </row>
    <row r="52" spans="1:15" x14ac:dyDescent="0.3">
      <c r="A52" s="71">
        <f t="shared" si="0"/>
        <v>4660</v>
      </c>
      <c r="B52" s="75" t="s">
        <v>244</v>
      </c>
      <c r="C52" s="77">
        <f t="shared" ref="C52:M52" si="26">1166.67</f>
        <v>1166.67</v>
      </c>
      <c r="D52" s="77">
        <f t="shared" si="26"/>
        <v>1166.67</v>
      </c>
      <c r="E52" s="77">
        <f t="shared" si="26"/>
        <v>1166.67</v>
      </c>
      <c r="F52" s="77">
        <f t="shared" si="26"/>
        <v>1166.67</v>
      </c>
      <c r="G52" s="77">
        <f t="shared" si="26"/>
        <v>1166.67</v>
      </c>
      <c r="H52" s="77">
        <f t="shared" si="26"/>
        <v>1166.67</v>
      </c>
      <c r="I52" s="77">
        <f t="shared" si="26"/>
        <v>1166.67</v>
      </c>
      <c r="J52" s="77">
        <f t="shared" si="26"/>
        <v>1166.67</v>
      </c>
      <c r="K52" s="77">
        <f t="shared" si="26"/>
        <v>1166.67</v>
      </c>
      <c r="L52" s="77">
        <f t="shared" si="26"/>
        <v>1166.67</v>
      </c>
      <c r="M52" s="77">
        <f t="shared" si="26"/>
        <v>1166.67</v>
      </c>
      <c r="N52" s="77">
        <f>1166.63</f>
        <v>1166.6300000000001</v>
      </c>
      <c r="O52" s="77">
        <f t="shared" si="1"/>
        <v>14000</v>
      </c>
    </row>
    <row r="53" spans="1:15" x14ac:dyDescent="0.3">
      <c r="A53" s="71">
        <f t="shared" si="0"/>
        <v>4881</v>
      </c>
      <c r="B53" s="75" t="s">
        <v>245</v>
      </c>
      <c r="C53" s="77">
        <f>2175</f>
        <v>2175</v>
      </c>
      <c r="D53" s="77">
        <f>2175</f>
        <v>2175</v>
      </c>
      <c r="E53" s="77">
        <f>2175</f>
        <v>2175</v>
      </c>
      <c r="F53" s="77">
        <f>2175</f>
        <v>2175</v>
      </c>
      <c r="G53" s="77">
        <f>2175</f>
        <v>2175</v>
      </c>
      <c r="H53" s="77">
        <f>2175</f>
        <v>2175</v>
      </c>
      <c r="I53" s="77">
        <f>2175</f>
        <v>2175</v>
      </c>
      <c r="J53" s="77">
        <f>2175</f>
        <v>2175</v>
      </c>
      <c r="K53" s="77">
        <f>2175</f>
        <v>2175</v>
      </c>
      <c r="L53" s="77">
        <f>2175</f>
        <v>2175</v>
      </c>
      <c r="M53" s="77">
        <f>2175</f>
        <v>2175</v>
      </c>
      <c r="N53" s="77">
        <f>2175</f>
        <v>2175</v>
      </c>
      <c r="O53" s="77">
        <f t="shared" si="1"/>
        <v>26100</v>
      </c>
    </row>
    <row r="54" spans="1:15" x14ac:dyDescent="0.3">
      <c r="A54" s="71" t="str">
        <f t="shared" si="0"/>
        <v>Total 65 Other Income</v>
      </c>
      <c r="B54" s="75" t="s">
        <v>246</v>
      </c>
      <c r="C54" s="78">
        <f t="shared" ref="C54:N54" si="27">((C51)+(C52))+(C53)</f>
        <v>3341.67</v>
      </c>
      <c r="D54" s="78">
        <f t="shared" si="27"/>
        <v>3341.67</v>
      </c>
      <c r="E54" s="78">
        <f t="shared" si="27"/>
        <v>3341.67</v>
      </c>
      <c r="F54" s="78">
        <f t="shared" si="27"/>
        <v>3341.67</v>
      </c>
      <c r="G54" s="78">
        <f t="shared" si="27"/>
        <v>3341.67</v>
      </c>
      <c r="H54" s="78">
        <f t="shared" si="27"/>
        <v>3341.67</v>
      </c>
      <c r="I54" s="78">
        <f t="shared" si="27"/>
        <v>3341.67</v>
      </c>
      <c r="J54" s="78">
        <f t="shared" si="27"/>
        <v>3341.67</v>
      </c>
      <c r="K54" s="78">
        <f t="shared" si="27"/>
        <v>3341.67</v>
      </c>
      <c r="L54" s="78">
        <f t="shared" si="27"/>
        <v>3341.67</v>
      </c>
      <c r="M54" s="78">
        <f t="shared" si="27"/>
        <v>3341.67</v>
      </c>
      <c r="N54" s="78">
        <f t="shared" si="27"/>
        <v>3341.63</v>
      </c>
      <c r="O54" s="78">
        <f t="shared" si="1"/>
        <v>40099.999999999985</v>
      </c>
    </row>
    <row r="55" spans="1:15" x14ac:dyDescent="0.3">
      <c r="A55" s="71" t="str">
        <f t="shared" si="0"/>
        <v>Total 60 Other Income</v>
      </c>
      <c r="B55" s="75" t="s">
        <v>247</v>
      </c>
      <c r="C55" s="78">
        <f t="shared" ref="C55:N55" si="28">((C45)+(C50))+(C54)</f>
        <v>55341.67</v>
      </c>
      <c r="D55" s="78">
        <f t="shared" si="28"/>
        <v>3341.67</v>
      </c>
      <c r="E55" s="78">
        <f t="shared" si="28"/>
        <v>3341.67</v>
      </c>
      <c r="F55" s="78">
        <f t="shared" si="28"/>
        <v>8341.67</v>
      </c>
      <c r="G55" s="78">
        <f t="shared" si="28"/>
        <v>3341.67</v>
      </c>
      <c r="H55" s="78">
        <f t="shared" si="28"/>
        <v>3341.67</v>
      </c>
      <c r="I55" s="78">
        <f t="shared" si="28"/>
        <v>3341.67</v>
      </c>
      <c r="J55" s="78">
        <f t="shared" si="28"/>
        <v>8341.67</v>
      </c>
      <c r="K55" s="78">
        <f t="shared" si="28"/>
        <v>3341.67</v>
      </c>
      <c r="L55" s="78">
        <f t="shared" si="28"/>
        <v>3341.67</v>
      </c>
      <c r="M55" s="78">
        <f t="shared" si="28"/>
        <v>3341.67</v>
      </c>
      <c r="N55" s="78">
        <f t="shared" si="28"/>
        <v>3341.63</v>
      </c>
      <c r="O55" s="78">
        <f t="shared" si="1"/>
        <v>102099.99999999999</v>
      </c>
    </row>
    <row r="56" spans="1:15" x14ac:dyDescent="0.3">
      <c r="A56" s="71" t="str">
        <f t="shared" si="0"/>
        <v>Total Revenue</v>
      </c>
      <c r="B56" s="75" t="s">
        <v>195</v>
      </c>
      <c r="C56" s="78">
        <f t="shared" ref="C56:N56" si="29">(((((C16)+(C20))+(C26))+(C39))+(C44))+(C55)</f>
        <v>122272.59</v>
      </c>
      <c r="D56" s="78">
        <f t="shared" si="29"/>
        <v>70272.59</v>
      </c>
      <c r="E56" s="78">
        <f t="shared" si="29"/>
        <v>116939.26</v>
      </c>
      <c r="F56" s="78">
        <f t="shared" si="29"/>
        <v>121939.26</v>
      </c>
      <c r="G56" s="78">
        <f t="shared" si="29"/>
        <v>129939.26</v>
      </c>
      <c r="H56" s="78">
        <f t="shared" si="29"/>
        <v>165689.26</v>
      </c>
      <c r="I56" s="78">
        <f t="shared" si="29"/>
        <v>120189.26</v>
      </c>
      <c r="J56" s="78">
        <f t="shared" si="29"/>
        <v>121939.26</v>
      </c>
      <c r="K56" s="78">
        <f t="shared" si="29"/>
        <v>116939.26</v>
      </c>
      <c r="L56" s="78">
        <f t="shared" si="29"/>
        <v>116939.26</v>
      </c>
      <c r="M56" s="78">
        <f t="shared" si="29"/>
        <v>86939.23</v>
      </c>
      <c r="N56" s="78">
        <f t="shared" si="29"/>
        <v>70272.510000000009</v>
      </c>
      <c r="O56" s="78">
        <f t="shared" si="1"/>
        <v>1360271</v>
      </c>
    </row>
    <row r="57" spans="1:15" x14ac:dyDescent="0.3">
      <c r="A57" s="71" t="str">
        <f t="shared" si="0"/>
        <v>Gross Profit</v>
      </c>
      <c r="B57" s="75" t="s">
        <v>248</v>
      </c>
      <c r="C57" s="78">
        <f t="shared" ref="C57:N57" si="30">(C56)-(0)</f>
        <v>122272.59</v>
      </c>
      <c r="D57" s="78">
        <f t="shared" si="30"/>
        <v>70272.59</v>
      </c>
      <c r="E57" s="78">
        <f t="shared" si="30"/>
        <v>116939.26</v>
      </c>
      <c r="F57" s="78">
        <f t="shared" si="30"/>
        <v>121939.26</v>
      </c>
      <c r="G57" s="78">
        <f t="shared" si="30"/>
        <v>129939.26</v>
      </c>
      <c r="H57" s="78">
        <f t="shared" si="30"/>
        <v>165689.26</v>
      </c>
      <c r="I57" s="78">
        <f t="shared" si="30"/>
        <v>120189.26</v>
      </c>
      <c r="J57" s="78">
        <f t="shared" si="30"/>
        <v>121939.26</v>
      </c>
      <c r="K57" s="78">
        <f t="shared" si="30"/>
        <v>116939.26</v>
      </c>
      <c r="L57" s="78">
        <f t="shared" si="30"/>
        <v>116939.26</v>
      </c>
      <c r="M57" s="78">
        <f t="shared" si="30"/>
        <v>86939.23</v>
      </c>
      <c r="N57" s="78">
        <f t="shared" si="30"/>
        <v>70272.510000000009</v>
      </c>
      <c r="O57" s="78">
        <f t="shared" si="1"/>
        <v>1360271</v>
      </c>
    </row>
    <row r="58" spans="1:15" x14ac:dyDescent="0.3">
      <c r="A58" s="71" t="str">
        <f t="shared" si="0"/>
        <v>Expenditures</v>
      </c>
      <c r="B58" s="75" t="s">
        <v>249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</row>
    <row r="59" spans="1:15" x14ac:dyDescent="0.3">
      <c r="A59" s="71" t="str">
        <f t="shared" si="0"/>
        <v>110 Table</v>
      </c>
      <c r="B59" s="75" t="s">
        <v>250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7">
        <f t="shared" ref="O59:O122" si="31">(((((((((((C59)+(D59))+(E59))+(F59))+(G59))+(H59))+(I59))+(J59))+(K59))+(L59))+(M59))+(N59)</f>
        <v>0</v>
      </c>
    </row>
    <row r="60" spans="1:15" x14ac:dyDescent="0.3">
      <c r="A60" s="71">
        <f t="shared" si="0"/>
        <v>6011</v>
      </c>
      <c r="B60" s="75" t="s">
        <v>251</v>
      </c>
      <c r="C60" s="77">
        <f>100</f>
        <v>100</v>
      </c>
      <c r="D60" s="77">
        <f>100</f>
        <v>100</v>
      </c>
      <c r="E60" s="77">
        <f>100</f>
        <v>100</v>
      </c>
      <c r="F60" s="77">
        <f>100</f>
        <v>100</v>
      </c>
      <c r="G60" s="77">
        <f>100</f>
        <v>100</v>
      </c>
      <c r="H60" s="77">
        <f>100</f>
        <v>100</v>
      </c>
      <c r="I60" s="77">
        <f>100</f>
        <v>100</v>
      </c>
      <c r="J60" s="77">
        <f>100</f>
        <v>100</v>
      </c>
      <c r="K60" s="77">
        <f>100</f>
        <v>100</v>
      </c>
      <c r="L60" s="77">
        <f>100</f>
        <v>100</v>
      </c>
      <c r="M60" s="77">
        <f>100</f>
        <v>100</v>
      </c>
      <c r="N60" s="77">
        <f>100</f>
        <v>100</v>
      </c>
      <c r="O60" s="77">
        <f t="shared" si="31"/>
        <v>1200</v>
      </c>
    </row>
    <row r="61" spans="1:15" x14ac:dyDescent="0.3">
      <c r="A61" s="71">
        <f t="shared" si="0"/>
        <v>6012</v>
      </c>
      <c r="B61" s="75" t="s">
        <v>252</v>
      </c>
      <c r="C61" s="77">
        <f t="shared" ref="C61:M61" si="32">22562.08</f>
        <v>22562.080000000002</v>
      </c>
      <c r="D61" s="77">
        <f t="shared" si="32"/>
        <v>22562.080000000002</v>
      </c>
      <c r="E61" s="77">
        <f t="shared" si="32"/>
        <v>22562.080000000002</v>
      </c>
      <c r="F61" s="77">
        <f t="shared" si="32"/>
        <v>22562.080000000002</v>
      </c>
      <c r="G61" s="77">
        <f t="shared" si="32"/>
        <v>22562.080000000002</v>
      </c>
      <c r="H61" s="77">
        <f t="shared" si="32"/>
        <v>22562.080000000002</v>
      </c>
      <c r="I61" s="77">
        <f t="shared" si="32"/>
        <v>22562.080000000002</v>
      </c>
      <c r="J61" s="77">
        <f t="shared" si="32"/>
        <v>22562.080000000002</v>
      </c>
      <c r="K61" s="77">
        <f t="shared" si="32"/>
        <v>22562.080000000002</v>
      </c>
      <c r="L61" s="77">
        <f t="shared" si="32"/>
        <v>22562.080000000002</v>
      </c>
      <c r="M61" s="77">
        <f t="shared" si="32"/>
        <v>22562.080000000002</v>
      </c>
      <c r="N61" s="77">
        <f>22562.12</f>
        <v>22562.12</v>
      </c>
      <c r="O61" s="77">
        <f t="shared" si="31"/>
        <v>270745.00000000006</v>
      </c>
    </row>
    <row r="62" spans="1:15" x14ac:dyDescent="0.3">
      <c r="A62" s="71">
        <f t="shared" si="0"/>
        <v>6014</v>
      </c>
      <c r="B62" s="75" t="s">
        <v>380</v>
      </c>
      <c r="C62" s="77">
        <f t="shared" ref="C62:M62" si="33">33.33</f>
        <v>33.33</v>
      </c>
      <c r="D62" s="77">
        <f t="shared" si="33"/>
        <v>33.33</v>
      </c>
      <c r="E62" s="77">
        <f t="shared" si="33"/>
        <v>33.33</v>
      </c>
      <c r="F62" s="77">
        <f t="shared" si="33"/>
        <v>33.33</v>
      </c>
      <c r="G62" s="77">
        <f t="shared" si="33"/>
        <v>33.33</v>
      </c>
      <c r="H62" s="77">
        <f t="shared" si="33"/>
        <v>33.33</v>
      </c>
      <c r="I62" s="77">
        <f t="shared" si="33"/>
        <v>33.33</v>
      </c>
      <c r="J62" s="77">
        <f t="shared" si="33"/>
        <v>33.33</v>
      </c>
      <c r="K62" s="77">
        <f t="shared" si="33"/>
        <v>33.33</v>
      </c>
      <c r="L62" s="77">
        <f t="shared" si="33"/>
        <v>33.33</v>
      </c>
      <c r="M62" s="77">
        <f t="shared" si="33"/>
        <v>33.33</v>
      </c>
      <c r="N62" s="77">
        <f>33.37</f>
        <v>33.369999999999997</v>
      </c>
      <c r="O62" s="77">
        <f t="shared" si="31"/>
        <v>399.99999999999989</v>
      </c>
    </row>
    <row r="63" spans="1:15" x14ac:dyDescent="0.3">
      <c r="A63" s="71">
        <f t="shared" si="0"/>
        <v>6015</v>
      </c>
      <c r="B63" s="75" t="s">
        <v>253</v>
      </c>
      <c r="C63" s="77">
        <f>75</f>
        <v>75</v>
      </c>
      <c r="D63" s="77">
        <f>75</f>
        <v>75</v>
      </c>
      <c r="E63" s="77">
        <f>75</f>
        <v>75</v>
      </c>
      <c r="F63" s="77">
        <f>75</f>
        <v>75</v>
      </c>
      <c r="G63" s="77">
        <f>75</f>
        <v>75</v>
      </c>
      <c r="H63" s="77">
        <f>75</f>
        <v>75</v>
      </c>
      <c r="I63" s="77">
        <f>75</f>
        <v>75</v>
      </c>
      <c r="J63" s="77">
        <f>75</f>
        <v>75</v>
      </c>
      <c r="K63" s="77">
        <f>75</f>
        <v>75</v>
      </c>
      <c r="L63" s="77">
        <f>75</f>
        <v>75</v>
      </c>
      <c r="M63" s="77">
        <f>75</f>
        <v>75</v>
      </c>
      <c r="N63" s="77">
        <f>75</f>
        <v>75</v>
      </c>
      <c r="O63" s="77">
        <f t="shared" si="31"/>
        <v>900</v>
      </c>
    </row>
    <row r="64" spans="1:15" x14ac:dyDescent="0.3">
      <c r="A64" s="71">
        <f t="shared" si="0"/>
        <v>6025</v>
      </c>
      <c r="B64" s="75" t="s">
        <v>254</v>
      </c>
      <c r="C64" s="77">
        <f>350</f>
        <v>350</v>
      </c>
      <c r="D64" s="77">
        <f>350</f>
        <v>350</v>
      </c>
      <c r="E64" s="77">
        <f>350</f>
        <v>350</v>
      </c>
      <c r="F64" s="77">
        <f>350</f>
        <v>350</v>
      </c>
      <c r="G64" s="77">
        <f>350</f>
        <v>350</v>
      </c>
      <c r="H64" s="77">
        <f>350</f>
        <v>350</v>
      </c>
      <c r="I64" s="77">
        <f>350</f>
        <v>350</v>
      </c>
      <c r="J64" s="77">
        <f>350</f>
        <v>350</v>
      </c>
      <c r="K64" s="77">
        <f>350</f>
        <v>350</v>
      </c>
      <c r="L64" s="77">
        <f>350</f>
        <v>350</v>
      </c>
      <c r="M64" s="77">
        <f>350</f>
        <v>350</v>
      </c>
      <c r="N64" s="77">
        <f>350</f>
        <v>350</v>
      </c>
      <c r="O64" s="77">
        <f t="shared" si="31"/>
        <v>4200</v>
      </c>
    </row>
    <row r="65" spans="1:15" x14ac:dyDescent="0.3">
      <c r="A65" s="71">
        <f t="shared" si="0"/>
        <v>6030</v>
      </c>
      <c r="B65" s="75" t="s">
        <v>255</v>
      </c>
      <c r="C65" s="77">
        <f t="shared" ref="C65:M65" si="34">458.33</f>
        <v>458.33</v>
      </c>
      <c r="D65" s="77">
        <f t="shared" si="34"/>
        <v>458.33</v>
      </c>
      <c r="E65" s="77">
        <f t="shared" si="34"/>
        <v>458.33</v>
      </c>
      <c r="F65" s="77">
        <f t="shared" si="34"/>
        <v>458.33</v>
      </c>
      <c r="G65" s="77">
        <f t="shared" si="34"/>
        <v>458.33</v>
      </c>
      <c r="H65" s="77">
        <f t="shared" si="34"/>
        <v>458.33</v>
      </c>
      <c r="I65" s="77">
        <f t="shared" si="34"/>
        <v>458.33</v>
      </c>
      <c r="J65" s="77">
        <f t="shared" si="34"/>
        <v>458.33</v>
      </c>
      <c r="K65" s="77">
        <f t="shared" si="34"/>
        <v>458.33</v>
      </c>
      <c r="L65" s="77">
        <f t="shared" si="34"/>
        <v>458.33</v>
      </c>
      <c r="M65" s="77">
        <f t="shared" si="34"/>
        <v>458.33</v>
      </c>
      <c r="N65" s="77">
        <f>458.37</f>
        <v>458.37</v>
      </c>
      <c r="O65" s="77">
        <f t="shared" si="31"/>
        <v>5500</v>
      </c>
    </row>
    <row r="66" spans="1:15" x14ac:dyDescent="0.3">
      <c r="A66" s="71" t="str">
        <f t="shared" si="0"/>
        <v>Total 110 Table</v>
      </c>
      <c r="B66" s="75" t="s">
        <v>256</v>
      </c>
      <c r="C66" s="78">
        <f t="shared" ref="C66:N66" si="35">((((((C59)+(C60))+(C61))+(C62))+(C63))+(C64))+(C65)</f>
        <v>23578.740000000005</v>
      </c>
      <c r="D66" s="78">
        <f t="shared" si="35"/>
        <v>23578.740000000005</v>
      </c>
      <c r="E66" s="78">
        <f t="shared" si="35"/>
        <v>23578.740000000005</v>
      </c>
      <c r="F66" s="78">
        <f t="shared" si="35"/>
        <v>23578.740000000005</v>
      </c>
      <c r="G66" s="78">
        <f t="shared" si="35"/>
        <v>23578.740000000005</v>
      </c>
      <c r="H66" s="78">
        <f t="shared" si="35"/>
        <v>23578.740000000005</v>
      </c>
      <c r="I66" s="78">
        <f t="shared" si="35"/>
        <v>23578.740000000005</v>
      </c>
      <c r="J66" s="78">
        <f t="shared" si="35"/>
        <v>23578.740000000005</v>
      </c>
      <c r="K66" s="78">
        <f t="shared" si="35"/>
        <v>23578.740000000005</v>
      </c>
      <c r="L66" s="78">
        <f t="shared" si="35"/>
        <v>23578.740000000005</v>
      </c>
      <c r="M66" s="78">
        <f t="shared" si="35"/>
        <v>23578.740000000005</v>
      </c>
      <c r="N66" s="78">
        <f t="shared" si="35"/>
        <v>23578.859999999997</v>
      </c>
      <c r="O66" s="78">
        <f t="shared" si="31"/>
        <v>282945</v>
      </c>
    </row>
    <row r="67" spans="1:15" x14ac:dyDescent="0.3">
      <c r="A67" s="71" t="str">
        <f t="shared" si="0"/>
        <v>115 Room</v>
      </c>
      <c r="B67" s="75" t="s">
        <v>257</v>
      </c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7">
        <f t="shared" si="31"/>
        <v>0</v>
      </c>
    </row>
    <row r="68" spans="1:15" x14ac:dyDescent="0.3">
      <c r="A68" s="71">
        <f t="shared" si="0"/>
        <v>6055</v>
      </c>
      <c r="B68" s="75" t="s">
        <v>258</v>
      </c>
      <c r="C68" s="77">
        <f t="shared" ref="C68:M68" si="36">1061.67</f>
        <v>1061.67</v>
      </c>
      <c r="D68" s="77">
        <f t="shared" si="36"/>
        <v>1061.67</v>
      </c>
      <c r="E68" s="77">
        <f t="shared" si="36"/>
        <v>1061.67</v>
      </c>
      <c r="F68" s="77">
        <f t="shared" si="36"/>
        <v>1061.67</v>
      </c>
      <c r="G68" s="77">
        <f t="shared" si="36"/>
        <v>1061.67</v>
      </c>
      <c r="H68" s="77">
        <f t="shared" si="36"/>
        <v>1061.67</v>
      </c>
      <c r="I68" s="77">
        <f t="shared" si="36"/>
        <v>1061.67</v>
      </c>
      <c r="J68" s="77">
        <f t="shared" si="36"/>
        <v>1061.67</v>
      </c>
      <c r="K68" s="77">
        <f t="shared" si="36"/>
        <v>1061.67</v>
      </c>
      <c r="L68" s="77">
        <f t="shared" si="36"/>
        <v>1061.67</v>
      </c>
      <c r="M68" s="77">
        <f t="shared" si="36"/>
        <v>1061.67</v>
      </c>
      <c r="N68" s="77">
        <f>1061.63</f>
        <v>1061.6300000000001</v>
      </c>
      <c r="O68" s="77">
        <f t="shared" si="31"/>
        <v>12740</v>
      </c>
    </row>
    <row r="69" spans="1:15" x14ac:dyDescent="0.3">
      <c r="A69" s="71">
        <f t="shared" si="0"/>
        <v>6060</v>
      </c>
      <c r="B69" s="75" t="s">
        <v>259</v>
      </c>
      <c r="C69" s="77">
        <f t="shared" ref="C69:M70" si="37">291.67</f>
        <v>291.67</v>
      </c>
      <c r="D69" s="77">
        <f t="shared" si="37"/>
        <v>291.67</v>
      </c>
      <c r="E69" s="77">
        <f t="shared" si="37"/>
        <v>291.67</v>
      </c>
      <c r="F69" s="77">
        <f t="shared" si="37"/>
        <v>291.67</v>
      </c>
      <c r="G69" s="77">
        <f t="shared" si="37"/>
        <v>291.67</v>
      </c>
      <c r="H69" s="77">
        <f t="shared" si="37"/>
        <v>291.67</v>
      </c>
      <c r="I69" s="77">
        <f t="shared" si="37"/>
        <v>291.67</v>
      </c>
      <c r="J69" s="77">
        <f t="shared" si="37"/>
        <v>291.67</v>
      </c>
      <c r="K69" s="77">
        <f t="shared" si="37"/>
        <v>291.67</v>
      </c>
      <c r="L69" s="77">
        <f t="shared" si="37"/>
        <v>291.67</v>
      </c>
      <c r="M69" s="77">
        <f t="shared" si="37"/>
        <v>291.67</v>
      </c>
      <c r="N69" s="77">
        <f>291.63</f>
        <v>291.63</v>
      </c>
      <c r="O69" s="77">
        <f t="shared" si="31"/>
        <v>3500.0000000000005</v>
      </c>
    </row>
    <row r="70" spans="1:15" x14ac:dyDescent="0.3">
      <c r="A70" s="71">
        <f t="shared" si="0"/>
        <v>6061</v>
      </c>
      <c r="B70" s="75" t="s">
        <v>260</v>
      </c>
      <c r="C70" s="77">
        <f t="shared" si="37"/>
        <v>291.67</v>
      </c>
      <c r="D70" s="77">
        <f t="shared" si="37"/>
        <v>291.67</v>
      </c>
      <c r="E70" s="77">
        <f t="shared" si="37"/>
        <v>291.67</v>
      </c>
      <c r="F70" s="77">
        <f t="shared" si="37"/>
        <v>291.67</v>
      </c>
      <c r="G70" s="77">
        <f t="shared" si="37"/>
        <v>291.67</v>
      </c>
      <c r="H70" s="77">
        <f t="shared" si="37"/>
        <v>291.67</v>
      </c>
      <c r="I70" s="77">
        <f t="shared" si="37"/>
        <v>291.67</v>
      </c>
      <c r="J70" s="77">
        <f t="shared" si="37"/>
        <v>291.67</v>
      </c>
      <c r="K70" s="77">
        <f t="shared" si="37"/>
        <v>291.67</v>
      </c>
      <c r="L70" s="77">
        <f t="shared" si="37"/>
        <v>291.67</v>
      </c>
      <c r="M70" s="77">
        <f t="shared" si="37"/>
        <v>291.67</v>
      </c>
      <c r="N70" s="77">
        <f>291.63</f>
        <v>291.63</v>
      </c>
      <c r="O70" s="77">
        <f t="shared" si="31"/>
        <v>3500.0000000000005</v>
      </c>
    </row>
    <row r="71" spans="1:15" x14ac:dyDescent="0.3">
      <c r="A71" s="71">
        <f t="shared" ref="A71:A134" si="38">IF(ISNUMBER(VALUE(LEFT(TRIM(B71),5))),VALUE(LEFT(TRIM(B71),4)),TRIM(B71))</f>
        <v>6063</v>
      </c>
      <c r="B71" s="75" t="s">
        <v>261</v>
      </c>
      <c r="C71" s="77">
        <f t="shared" ref="C71:M71" si="39">258.33</f>
        <v>258.33</v>
      </c>
      <c r="D71" s="77">
        <f t="shared" si="39"/>
        <v>258.33</v>
      </c>
      <c r="E71" s="77">
        <f t="shared" si="39"/>
        <v>258.33</v>
      </c>
      <c r="F71" s="77">
        <f t="shared" si="39"/>
        <v>258.33</v>
      </c>
      <c r="G71" s="77">
        <f t="shared" si="39"/>
        <v>258.33</v>
      </c>
      <c r="H71" s="77">
        <f t="shared" si="39"/>
        <v>258.33</v>
      </c>
      <c r="I71" s="77">
        <f t="shared" si="39"/>
        <v>258.33</v>
      </c>
      <c r="J71" s="77">
        <f t="shared" si="39"/>
        <v>258.33</v>
      </c>
      <c r="K71" s="77">
        <f t="shared" si="39"/>
        <v>258.33</v>
      </c>
      <c r="L71" s="77">
        <f t="shared" si="39"/>
        <v>258.33</v>
      </c>
      <c r="M71" s="77">
        <f t="shared" si="39"/>
        <v>258.33</v>
      </c>
      <c r="N71" s="77">
        <f>258.37</f>
        <v>258.37</v>
      </c>
      <c r="O71" s="77">
        <f t="shared" si="31"/>
        <v>3099.9999999999995</v>
      </c>
    </row>
    <row r="72" spans="1:15" x14ac:dyDescent="0.3">
      <c r="A72" s="71">
        <f t="shared" si="38"/>
        <v>6065</v>
      </c>
      <c r="B72" s="75" t="s">
        <v>262</v>
      </c>
      <c r="C72" s="77">
        <f t="shared" ref="C72:M72" si="40">291.67</f>
        <v>291.67</v>
      </c>
      <c r="D72" s="77">
        <f t="shared" si="40"/>
        <v>291.67</v>
      </c>
      <c r="E72" s="77">
        <f t="shared" si="40"/>
        <v>291.67</v>
      </c>
      <c r="F72" s="77">
        <f t="shared" si="40"/>
        <v>291.67</v>
      </c>
      <c r="G72" s="77">
        <f t="shared" si="40"/>
        <v>291.67</v>
      </c>
      <c r="H72" s="77">
        <f t="shared" si="40"/>
        <v>291.67</v>
      </c>
      <c r="I72" s="77">
        <f t="shared" si="40"/>
        <v>291.67</v>
      </c>
      <c r="J72" s="77">
        <f t="shared" si="40"/>
        <v>291.67</v>
      </c>
      <c r="K72" s="77">
        <f t="shared" si="40"/>
        <v>291.67</v>
      </c>
      <c r="L72" s="77">
        <f t="shared" si="40"/>
        <v>291.67</v>
      </c>
      <c r="M72" s="77">
        <f t="shared" si="40"/>
        <v>291.67</v>
      </c>
      <c r="N72" s="77">
        <f>291.63</f>
        <v>291.63</v>
      </c>
      <c r="O72" s="77">
        <f t="shared" si="31"/>
        <v>3500.0000000000005</v>
      </c>
    </row>
    <row r="73" spans="1:15" x14ac:dyDescent="0.3">
      <c r="A73" s="71">
        <f t="shared" si="38"/>
        <v>6066</v>
      </c>
      <c r="B73" s="75" t="s">
        <v>263</v>
      </c>
      <c r="C73" s="77">
        <f t="shared" ref="C73:M73" si="41">341.67</f>
        <v>341.67</v>
      </c>
      <c r="D73" s="77">
        <f t="shared" si="41"/>
        <v>341.67</v>
      </c>
      <c r="E73" s="77">
        <f t="shared" si="41"/>
        <v>341.67</v>
      </c>
      <c r="F73" s="77">
        <f t="shared" si="41"/>
        <v>341.67</v>
      </c>
      <c r="G73" s="77">
        <f t="shared" si="41"/>
        <v>341.67</v>
      </c>
      <c r="H73" s="77">
        <f t="shared" si="41"/>
        <v>341.67</v>
      </c>
      <c r="I73" s="77">
        <f t="shared" si="41"/>
        <v>341.67</v>
      </c>
      <c r="J73" s="77">
        <f t="shared" si="41"/>
        <v>341.67</v>
      </c>
      <c r="K73" s="77">
        <f t="shared" si="41"/>
        <v>341.67</v>
      </c>
      <c r="L73" s="77">
        <f t="shared" si="41"/>
        <v>341.67</v>
      </c>
      <c r="M73" s="77">
        <f t="shared" si="41"/>
        <v>341.67</v>
      </c>
      <c r="N73" s="77">
        <f>341.63</f>
        <v>341.63</v>
      </c>
      <c r="O73" s="77">
        <f t="shared" si="31"/>
        <v>4100</v>
      </c>
    </row>
    <row r="74" spans="1:15" x14ac:dyDescent="0.3">
      <c r="A74" s="71" t="str">
        <f t="shared" si="38"/>
        <v>Total 115 Room</v>
      </c>
      <c r="B74" s="75" t="s">
        <v>264</v>
      </c>
      <c r="C74" s="78">
        <f t="shared" ref="C74:N74" si="42">((((((C67)+(C68))+(C69))+(C70))+(C71))+(C72))+(C73)</f>
        <v>2536.6800000000003</v>
      </c>
      <c r="D74" s="78">
        <f t="shared" si="42"/>
        <v>2536.6800000000003</v>
      </c>
      <c r="E74" s="78">
        <f t="shared" si="42"/>
        <v>2536.6800000000003</v>
      </c>
      <c r="F74" s="78">
        <f t="shared" si="42"/>
        <v>2536.6800000000003</v>
      </c>
      <c r="G74" s="78">
        <f t="shared" si="42"/>
        <v>2536.6800000000003</v>
      </c>
      <c r="H74" s="78">
        <f t="shared" si="42"/>
        <v>2536.6800000000003</v>
      </c>
      <c r="I74" s="78">
        <f t="shared" si="42"/>
        <v>2536.6800000000003</v>
      </c>
      <c r="J74" s="78">
        <f t="shared" si="42"/>
        <v>2536.6800000000003</v>
      </c>
      <c r="K74" s="78">
        <f t="shared" si="42"/>
        <v>2536.6800000000003</v>
      </c>
      <c r="L74" s="78">
        <f t="shared" si="42"/>
        <v>2536.6800000000003</v>
      </c>
      <c r="M74" s="78">
        <f t="shared" si="42"/>
        <v>2536.6800000000003</v>
      </c>
      <c r="N74" s="78">
        <f t="shared" si="42"/>
        <v>2536.5200000000004</v>
      </c>
      <c r="O74" s="78">
        <f t="shared" si="31"/>
        <v>30440.000000000004</v>
      </c>
    </row>
    <row r="75" spans="1:15" x14ac:dyDescent="0.3">
      <c r="A75" s="71" t="str">
        <f t="shared" si="38"/>
        <v>120 Automobile</v>
      </c>
      <c r="B75" s="75" t="s">
        <v>265</v>
      </c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>
        <f t="shared" si="31"/>
        <v>0</v>
      </c>
    </row>
    <row r="76" spans="1:15" x14ac:dyDescent="0.3">
      <c r="A76" s="71">
        <f t="shared" si="38"/>
        <v>6312</v>
      </c>
      <c r="B76" s="75" t="s">
        <v>266</v>
      </c>
      <c r="C76" s="77">
        <f t="shared" ref="C76:M77" si="43">183.33</f>
        <v>183.33</v>
      </c>
      <c r="D76" s="77">
        <f t="shared" si="43"/>
        <v>183.33</v>
      </c>
      <c r="E76" s="77">
        <f t="shared" si="43"/>
        <v>183.33</v>
      </c>
      <c r="F76" s="77">
        <f t="shared" si="43"/>
        <v>183.33</v>
      </c>
      <c r="G76" s="77">
        <f t="shared" si="43"/>
        <v>183.33</v>
      </c>
      <c r="H76" s="77">
        <f t="shared" si="43"/>
        <v>183.33</v>
      </c>
      <c r="I76" s="77">
        <f t="shared" si="43"/>
        <v>183.33</v>
      </c>
      <c r="J76" s="77">
        <f t="shared" si="43"/>
        <v>183.33</v>
      </c>
      <c r="K76" s="77">
        <f t="shared" si="43"/>
        <v>183.33</v>
      </c>
      <c r="L76" s="77">
        <f t="shared" si="43"/>
        <v>183.33</v>
      </c>
      <c r="M76" s="77">
        <f t="shared" si="43"/>
        <v>183.33</v>
      </c>
      <c r="N76" s="77">
        <f>183.37</f>
        <v>183.37</v>
      </c>
      <c r="O76" s="77">
        <f t="shared" si="31"/>
        <v>2199.9999999999995</v>
      </c>
    </row>
    <row r="77" spans="1:15" x14ac:dyDescent="0.3">
      <c r="A77" s="71">
        <f t="shared" si="38"/>
        <v>6313</v>
      </c>
      <c r="B77" s="75" t="s">
        <v>267</v>
      </c>
      <c r="C77" s="77">
        <f t="shared" si="43"/>
        <v>183.33</v>
      </c>
      <c r="D77" s="77">
        <f t="shared" si="43"/>
        <v>183.33</v>
      </c>
      <c r="E77" s="77">
        <f t="shared" si="43"/>
        <v>183.33</v>
      </c>
      <c r="F77" s="77">
        <f t="shared" si="43"/>
        <v>183.33</v>
      </c>
      <c r="G77" s="77">
        <f t="shared" si="43"/>
        <v>183.33</v>
      </c>
      <c r="H77" s="77">
        <f t="shared" si="43"/>
        <v>183.33</v>
      </c>
      <c r="I77" s="77">
        <f t="shared" si="43"/>
        <v>183.33</v>
      </c>
      <c r="J77" s="77">
        <f t="shared" si="43"/>
        <v>183.33</v>
      </c>
      <c r="K77" s="77">
        <f t="shared" si="43"/>
        <v>183.33</v>
      </c>
      <c r="L77" s="77">
        <f t="shared" si="43"/>
        <v>183.33</v>
      </c>
      <c r="M77" s="77">
        <f t="shared" si="43"/>
        <v>183.33</v>
      </c>
      <c r="N77" s="77">
        <f>183.37</f>
        <v>183.37</v>
      </c>
      <c r="O77" s="77">
        <f t="shared" si="31"/>
        <v>2199.9999999999995</v>
      </c>
    </row>
    <row r="78" spans="1:15" x14ac:dyDescent="0.3">
      <c r="A78" s="71">
        <f t="shared" si="38"/>
        <v>6314</v>
      </c>
      <c r="B78" s="75" t="s">
        <v>268</v>
      </c>
      <c r="C78" s="77">
        <f>325</f>
        <v>325</v>
      </c>
      <c r="D78" s="77">
        <f>325</f>
        <v>325</v>
      </c>
      <c r="E78" s="77">
        <f>325</f>
        <v>325</v>
      </c>
      <c r="F78" s="77">
        <f>325</f>
        <v>325</v>
      </c>
      <c r="G78" s="77">
        <f>325</f>
        <v>325</v>
      </c>
      <c r="H78" s="77">
        <f>325</f>
        <v>325</v>
      </c>
      <c r="I78" s="77">
        <f>325</f>
        <v>325</v>
      </c>
      <c r="J78" s="77">
        <f>325</f>
        <v>325</v>
      </c>
      <c r="K78" s="77">
        <f>325</f>
        <v>325</v>
      </c>
      <c r="L78" s="77">
        <f>325</f>
        <v>325</v>
      </c>
      <c r="M78" s="77">
        <f>325</f>
        <v>325</v>
      </c>
      <c r="N78" s="77">
        <f>325</f>
        <v>325</v>
      </c>
      <c r="O78" s="77">
        <f t="shared" si="31"/>
        <v>3900</v>
      </c>
    </row>
    <row r="79" spans="1:15" x14ac:dyDescent="0.3">
      <c r="A79" s="71" t="str">
        <f t="shared" si="38"/>
        <v>Total 120 Automobile</v>
      </c>
      <c r="B79" s="75" t="s">
        <v>269</v>
      </c>
      <c r="C79" s="78">
        <f t="shared" ref="C79:N79" si="44">(((C75)+(C76))+(C77))+(C78)</f>
        <v>691.66000000000008</v>
      </c>
      <c r="D79" s="78">
        <f t="shared" si="44"/>
        <v>691.66000000000008</v>
      </c>
      <c r="E79" s="78">
        <f t="shared" si="44"/>
        <v>691.66000000000008</v>
      </c>
      <c r="F79" s="78">
        <f t="shared" si="44"/>
        <v>691.66000000000008</v>
      </c>
      <c r="G79" s="78">
        <f t="shared" si="44"/>
        <v>691.66000000000008</v>
      </c>
      <c r="H79" s="78">
        <f t="shared" si="44"/>
        <v>691.66000000000008</v>
      </c>
      <c r="I79" s="78">
        <f t="shared" si="44"/>
        <v>691.66000000000008</v>
      </c>
      <c r="J79" s="78">
        <f t="shared" si="44"/>
        <v>691.66000000000008</v>
      </c>
      <c r="K79" s="78">
        <f t="shared" si="44"/>
        <v>691.66000000000008</v>
      </c>
      <c r="L79" s="78">
        <f t="shared" si="44"/>
        <v>691.66000000000008</v>
      </c>
      <c r="M79" s="78">
        <f t="shared" si="44"/>
        <v>691.66000000000008</v>
      </c>
      <c r="N79" s="78">
        <f t="shared" si="44"/>
        <v>691.74</v>
      </c>
      <c r="O79" s="78">
        <f t="shared" si="31"/>
        <v>8300</v>
      </c>
    </row>
    <row r="80" spans="1:15" x14ac:dyDescent="0.3">
      <c r="A80" s="71" t="str">
        <f t="shared" si="38"/>
        <v>125 Travel</v>
      </c>
      <c r="B80" s="75" t="s">
        <v>381</v>
      </c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7">
        <f t="shared" si="31"/>
        <v>0</v>
      </c>
    </row>
    <row r="81" spans="1:15" x14ac:dyDescent="0.3">
      <c r="A81" s="71">
        <f t="shared" si="38"/>
        <v>6322</v>
      </c>
      <c r="B81" s="75" t="s">
        <v>382</v>
      </c>
      <c r="C81" s="77">
        <f t="shared" ref="C81:M81" si="45">291.67</f>
        <v>291.67</v>
      </c>
      <c r="D81" s="77">
        <f t="shared" si="45"/>
        <v>291.67</v>
      </c>
      <c r="E81" s="77">
        <f t="shared" si="45"/>
        <v>291.67</v>
      </c>
      <c r="F81" s="77">
        <f t="shared" si="45"/>
        <v>291.67</v>
      </c>
      <c r="G81" s="77">
        <f t="shared" si="45"/>
        <v>291.67</v>
      </c>
      <c r="H81" s="77">
        <f t="shared" si="45"/>
        <v>291.67</v>
      </c>
      <c r="I81" s="77">
        <f t="shared" si="45"/>
        <v>291.67</v>
      </c>
      <c r="J81" s="77">
        <f t="shared" si="45"/>
        <v>291.67</v>
      </c>
      <c r="K81" s="77">
        <f t="shared" si="45"/>
        <v>291.67</v>
      </c>
      <c r="L81" s="77">
        <f t="shared" si="45"/>
        <v>291.67</v>
      </c>
      <c r="M81" s="77">
        <f t="shared" si="45"/>
        <v>291.67</v>
      </c>
      <c r="N81" s="77">
        <f>291.63</f>
        <v>291.63</v>
      </c>
      <c r="O81" s="77">
        <f t="shared" si="31"/>
        <v>3500.0000000000005</v>
      </c>
    </row>
    <row r="82" spans="1:15" x14ac:dyDescent="0.3">
      <c r="A82" s="71" t="str">
        <f t="shared" si="38"/>
        <v>Total 125 Travel</v>
      </c>
      <c r="B82" s="75" t="s">
        <v>383</v>
      </c>
      <c r="C82" s="78">
        <f t="shared" ref="C82:N82" si="46">(C80)+(C81)</f>
        <v>291.67</v>
      </c>
      <c r="D82" s="78">
        <f t="shared" si="46"/>
        <v>291.67</v>
      </c>
      <c r="E82" s="78">
        <f t="shared" si="46"/>
        <v>291.67</v>
      </c>
      <c r="F82" s="78">
        <f t="shared" si="46"/>
        <v>291.67</v>
      </c>
      <c r="G82" s="78">
        <f t="shared" si="46"/>
        <v>291.67</v>
      </c>
      <c r="H82" s="78">
        <f t="shared" si="46"/>
        <v>291.67</v>
      </c>
      <c r="I82" s="78">
        <f t="shared" si="46"/>
        <v>291.67</v>
      </c>
      <c r="J82" s="78">
        <f t="shared" si="46"/>
        <v>291.67</v>
      </c>
      <c r="K82" s="78">
        <f t="shared" si="46"/>
        <v>291.67</v>
      </c>
      <c r="L82" s="78">
        <f t="shared" si="46"/>
        <v>291.67</v>
      </c>
      <c r="M82" s="78">
        <f t="shared" si="46"/>
        <v>291.67</v>
      </c>
      <c r="N82" s="78">
        <f t="shared" si="46"/>
        <v>291.63</v>
      </c>
      <c r="O82" s="78">
        <f t="shared" si="31"/>
        <v>3500.0000000000005</v>
      </c>
    </row>
    <row r="83" spans="1:15" x14ac:dyDescent="0.3">
      <c r="A83" s="71" t="str">
        <f t="shared" si="38"/>
        <v>130 Maintenance Interior</v>
      </c>
      <c r="B83" s="75" t="s">
        <v>270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7">
        <f t="shared" si="31"/>
        <v>0</v>
      </c>
    </row>
    <row r="84" spans="1:15" x14ac:dyDescent="0.3">
      <c r="A84" s="71">
        <f t="shared" si="38"/>
        <v>6411</v>
      </c>
      <c r="B84" s="75" t="s">
        <v>271</v>
      </c>
      <c r="C84" s="77">
        <f>250</f>
        <v>250</v>
      </c>
      <c r="D84" s="77">
        <f>250</f>
        <v>250</v>
      </c>
      <c r="E84" s="77">
        <f>250</f>
        <v>250</v>
      </c>
      <c r="F84" s="77">
        <f>250</f>
        <v>250</v>
      </c>
      <c r="G84" s="77">
        <f>250</f>
        <v>250</v>
      </c>
      <c r="H84" s="77">
        <f>250</f>
        <v>250</v>
      </c>
      <c r="I84" s="77">
        <f>250</f>
        <v>250</v>
      </c>
      <c r="J84" s="77">
        <f>250</f>
        <v>250</v>
      </c>
      <c r="K84" s="77">
        <f>250</f>
        <v>250</v>
      </c>
      <c r="L84" s="77">
        <f>250</f>
        <v>250</v>
      </c>
      <c r="M84" s="77">
        <f>250</f>
        <v>250</v>
      </c>
      <c r="N84" s="77">
        <f>250</f>
        <v>250</v>
      </c>
      <c r="O84" s="77">
        <f t="shared" si="31"/>
        <v>3000</v>
      </c>
    </row>
    <row r="85" spans="1:15" x14ac:dyDescent="0.3">
      <c r="A85" s="71">
        <f t="shared" si="38"/>
        <v>6412</v>
      </c>
      <c r="B85" s="75" t="s">
        <v>272</v>
      </c>
      <c r="C85" s="77">
        <f t="shared" ref="C85:M85" si="47">291.67</f>
        <v>291.67</v>
      </c>
      <c r="D85" s="77">
        <f t="shared" si="47"/>
        <v>291.67</v>
      </c>
      <c r="E85" s="77">
        <f t="shared" si="47"/>
        <v>291.67</v>
      </c>
      <c r="F85" s="77">
        <f t="shared" si="47"/>
        <v>291.67</v>
      </c>
      <c r="G85" s="77">
        <f t="shared" si="47"/>
        <v>291.67</v>
      </c>
      <c r="H85" s="77">
        <f t="shared" si="47"/>
        <v>291.67</v>
      </c>
      <c r="I85" s="77">
        <f t="shared" si="47"/>
        <v>291.67</v>
      </c>
      <c r="J85" s="77">
        <f t="shared" si="47"/>
        <v>291.67</v>
      </c>
      <c r="K85" s="77">
        <f t="shared" si="47"/>
        <v>291.67</v>
      </c>
      <c r="L85" s="77">
        <f t="shared" si="47"/>
        <v>291.67</v>
      </c>
      <c r="M85" s="77">
        <f t="shared" si="47"/>
        <v>291.67</v>
      </c>
      <c r="N85" s="77">
        <f>291.63</f>
        <v>291.63</v>
      </c>
      <c r="O85" s="77">
        <f t="shared" si="31"/>
        <v>3500.0000000000005</v>
      </c>
    </row>
    <row r="86" spans="1:15" x14ac:dyDescent="0.3">
      <c r="A86" s="71">
        <f t="shared" si="38"/>
        <v>6413</v>
      </c>
      <c r="B86" s="75" t="s">
        <v>273</v>
      </c>
      <c r="C86" s="77">
        <f t="shared" ref="C86:M86" si="48">958.33</f>
        <v>958.33</v>
      </c>
      <c r="D86" s="77">
        <f t="shared" si="48"/>
        <v>958.33</v>
      </c>
      <c r="E86" s="77">
        <f t="shared" si="48"/>
        <v>958.33</v>
      </c>
      <c r="F86" s="77">
        <f t="shared" si="48"/>
        <v>958.33</v>
      </c>
      <c r="G86" s="77">
        <f t="shared" si="48"/>
        <v>958.33</v>
      </c>
      <c r="H86" s="77">
        <f t="shared" si="48"/>
        <v>958.33</v>
      </c>
      <c r="I86" s="77">
        <f t="shared" si="48"/>
        <v>958.33</v>
      </c>
      <c r="J86" s="77">
        <f t="shared" si="48"/>
        <v>958.33</v>
      </c>
      <c r="K86" s="77">
        <f t="shared" si="48"/>
        <v>958.33</v>
      </c>
      <c r="L86" s="77">
        <f t="shared" si="48"/>
        <v>958.33</v>
      </c>
      <c r="M86" s="77">
        <f t="shared" si="48"/>
        <v>958.33</v>
      </c>
      <c r="N86" s="77">
        <f>958.37</f>
        <v>958.37</v>
      </c>
      <c r="O86" s="77">
        <f t="shared" si="31"/>
        <v>11500.000000000002</v>
      </c>
    </row>
    <row r="87" spans="1:15" x14ac:dyDescent="0.3">
      <c r="A87" s="71">
        <f t="shared" si="38"/>
        <v>6414</v>
      </c>
      <c r="B87" s="75" t="s">
        <v>274</v>
      </c>
      <c r="C87" s="77">
        <f t="shared" ref="C87:M87" si="49">183.33</f>
        <v>183.33</v>
      </c>
      <c r="D87" s="77">
        <f t="shared" si="49"/>
        <v>183.33</v>
      </c>
      <c r="E87" s="77">
        <f t="shared" si="49"/>
        <v>183.33</v>
      </c>
      <c r="F87" s="77">
        <f t="shared" si="49"/>
        <v>183.33</v>
      </c>
      <c r="G87" s="77">
        <f t="shared" si="49"/>
        <v>183.33</v>
      </c>
      <c r="H87" s="77">
        <f t="shared" si="49"/>
        <v>183.33</v>
      </c>
      <c r="I87" s="77">
        <f t="shared" si="49"/>
        <v>183.33</v>
      </c>
      <c r="J87" s="77">
        <f t="shared" si="49"/>
        <v>183.33</v>
      </c>
      <c r="K87" s="77">
        <f t="shared" si="49"/>
        <v>183.33</v>
      </c>
      <c r="L87" s="77">
        <f t="shared" si="49"/>
        <v>183.33</v>
      </c>
      <c r="M87" s="77">
        <f t="shared" si="49"/>
        <v>183.33</v>
      </c>
      <c r="N87" s="77">
        <f>183.37</f>
        <v>183.37</v>
      </c>
      <c r="O87" s="77">
        <f t="shared" si="31"/>
        <v>2199.9999999999995</v>
      </c>
    </row>
    <row r="88" spans="1:15" x14ac:dyDescent="0.3">
      <c r="A88" s="71">
        <f t="shared" si="38"/>
        <v>6420</v>
      </c>
      <c r="B88" s="75" t="s">
        <v>275</v>
      </c>
      <c r="C88" s="77">
        <f>125</f>
        <v>125</v>
      </c>
      <c r="D88" s="77">
        <f>125</f>
        <v>125</v>
      </c>
      <c r="E88" s="77">
        <f>125</f>
        <v>125</v>
      </c>
      <c r="F88" s="77">
        <f>125</f>
        <v>125</v>
      </c>
      <c r="G88" s="77">
        <f>125</f>
        <v>125</v>
      </c>
      <c r="H88" s="77">
        <f>125</f>
        <v>125</v>
      </c>
      <c r="I88" s="77">
        <f>125</f>
        <v>125</v>
      </c>
      <c r="J88" s="77">
        <f>125</f>
        <v>125</v>
      </c>
      <c r="K88" s="77">
        <f>125</f>
        <v>125</v>
      </c>
      <c r="L88" s="77">
        <f>125</f>
        <v>125</v>
      </c>
      <c r="M88" s="77">
        <f>125</f>
        <v>125</v>
      </c>
      <c r="N88" s="77">
        <f>125</f>
        <v>125</v>
      </c>
      <c r="O88" s="77">
        <f t="shared" si="31"/>
        <v>1500</v>
      </c>
    </row>
    <row r="89" spans="1:15" x14ac:dyDescent="0.3">
      <c r="A89" s="71">
        <f t="shared" si="38"/>
        <v>6421</v>
      </c>
      <c r="B89" s="75" t="s">
        <v>276</v>
      </c>
      <c r="C89" s="77">
        <f t="shared" ref="C89:M89" si="50">158.33</f>
        <v>158.33000000000001</v>
      </c>
      <c r="D89" s="77">
        <f t="shared" si="50"/>
        <v>158.33000000000001</v>
      </c>
      <c r="E89" s="77">
        <f t="shared" si="50"/>
        <v>158.33000000000001</v>
      </c>
      <c r="F89" s="77">
        <f t="shared" si="50"/>
        <v>158.33000000000001</v>
      </c>
      <c r="G89" s="77">
        <f t="shared" si="50"/>
        <v>158.33000000000001</v>
      </c>
      <c r="H89" s="77">
        <f t="shared" si="50"/>
        <v>158.33000000000001</v>
      </c>
      <c r="I89" s="77">
        <f t="shared" si="50"/>
        <v>158.33000000000001</v>
      </c>
      <c r="J89" s="77">
        <f t="shared" si="50"/>
        <v>158.33000000000001</v>
      </c>
      <c r="K89" s="77">
        <f t="shared" si="50"/>
        <v>158.33000000000001</v>
      </c>
      <c r="L89" s="77">
        <f t="shared" si="50"/>
        <v>158.33000000000001</v>
      </c>
      <c r="M89" s="77">
        <f t="shared" si="50"/>
        <v>158.33000000000001</v>
      </c>
      <c r="N89" s="77">
        <f>158.37</f>
        <v>158.37</v>
      </c>
      <c r="O89" s="77">
        <f t="shared" si="31"/>
        <v>1900</v>
      </c>
    </row>
    <row r="90" spans="1:15" x14ac:dyDescent="0.3">
      <c r="A90" s="71">
        <f t="shared" si="38"/>
        <v>6422</v>
      </c>
      <c r="B90" s="75" t="s">
        <v>384</v>
      </c>
      <c r="C90" s="77">
        <f>25</f>
        <v>25</v>
      </c>
      <c r="D90" s="77">
        <f>25</f>
        <v>25</v>
      </c>
      <c r="E90" s="77">
        <f>25</f>
        <v>25</v>
      </c>
      <c r="F90" s="77">
        <f>25</f>
        <v>25</v>
      </c>
      <c r="G90" s="77">
        <f>25</f>
        <v>25</v>
      </c>
      <c r="H90" s="77">
        <f>25</f>
        <v>25</v>
      </c>
      <c r="I90" s="77">
        <f>25</f>
        <v>25</v>
      </c>
      <c r="J90" s="77">
        <f>25</f>
        <v>25</v>
      </c>
      <c r="K90" s="77">
        <f>25</f>
        <v>25</v>
      </c>
      <c r="L90" s="77">
        <f>25</f>
        <v>25</v>
      </c>
      <c r="M90" s="77">
        <f>25</f>
        <v>25</v>
      </c>
      <c r="N90" s="77">
        <f>25</f>
        <v>25</v>
      </c>
      <c r="O90" s="77">
        <f t="shared" si="31"/>
        <v>300</v>
      </c>
    </row>
    <row r="91" spans="1:15" x14ac:dyDescent="0.3">
      <c r="A91" s="71">
        <f t="shared" si="38"/>
        <v>6423</v>
      </c>
      <c r="B91" s="75" t="s">
        <v>277</v>
      </c>
      <c r="C91" s="77">
        <f t="shared" ref="C91:N91" si="51">82.5</f>
        <v>82.5</v>
      </c>
      <c r="D91" s="77">
        <f t="shared" si="51"/>
        <v>82.5</v>
      </c>
      <c r="E91" s="77">
        <f t="shared" si="51"/>
        <v>82.5</v>
      </c>
      <c r="F91" s="77">
        <f t="shared" si="51"/>
        <v>82.5</v>
      </c>
      <c r="G91" s="77">
        <f t="shared" si="51"/>
        <v>82.5</v>
      </c>
      <c r="H91" s="77">
        <f t="shared" si="51"/>
        <v>82.5</v>
      </c>
      <c r="I91" s="77">
        <f t="shared" si="51"/>
        <v>82.5</v>
      </c>
      <c r="J91" s="77">
        <f t="shared" si="51"/>
        <v>82.5</v>
      </c>
      <c r="K91" s="77">
        <f t="shared" si="51"/>
        <v>82.5</v>
      </c>
      <c r="L91" s="77">
        <f t="shared" si="51"/>
        <v>82.5</v>
      </c>
      <c r="M91" s="77">
        <f t="shared" si="51"/>
        <v>82.5</v>
      </c>
      <c r="N91" s="77">
        <f t="shared" si="51"/>
        <v>82.5</v>
      </c>
      <c r="O91" s="77">
        <f t="shared" si="31"/>
        <v>990</v>
      </c>
    </row>
    <row r="92" spans="1:15" x14ac:dyDescent="0.3">
      <c r="A92" s="71">
        <f t="shared" si="38"/>
        <v>6424</v>
      </c>
      <c r="B92" s="75" t="s">
        <v>278</v>
      </c>
      <c r="C92" s="77">
        <f>25</f>
        <v>25</v>
      </c>
      <c r="D92" s="77">
        <f>25</f>
        <v>25</v>
      </c>
      <c r="E92" s="77">
        <f>25</f>
        <v>25</v>
      </c>
      <c r="F92" s="77">
        <f>25</f>
        <v>25</v>
      </c>
      <c r="G92" s="77">
        <f>25</f>
        <v>25</v>
      </c>
      <c r="H92" s="77">
        <f>25</f>
        <v>25</v>
      </c>
      <c r="I92" s="77">
        <f>25</f>
        <v>25</v>
      </c>
      <c r="J92" s="77">
        <f>25</f>
        <v>25</v>
      </c>
      <c r="K92" s="77">
        <f>25</f>
        <v>25</v>
      </c>
      <c r="L92" s="77">
        <f>25</f>
        <v>25</v>
      </c>
      <c r="M92" s="77">
        <f>25</f>
        <v>25</v>
      </c>
      <c r="N92" s="77">
        <f>25</f>
        <v>25</v>
      </c>
      <c r="O92" s="77">
        <f t="shared" si="31"/>
        <v>300</v>
      </c>
    </row>
    <row r="93" spans="1:15" x14ac:dyDescent="0.3">
      <c r="A93" s="71">
        <f t="shared" si="38"/>
        <v>6425</v>
      </c>
      <c r="B93" s="75" t="s">
        <v>279</v>
      </c>
      <c r="C93" s="77">
        <f t="shared" ref="C93:M93" si="52">133.33</f>
        <v>133.33000000000001</v>
      </c>
      <c r="D93" s="77">
        <f t="shared" si="52"/>
        <v>133.33000000000001</v>
      </c>
      <c r="E93" s="77">
        <f t="shared" si="52"/>
        <v>133.33000000000001</v>
      </c>
      <c r="F93" s="77">
        <f t="shared" si="52"/>
        <v>133.33000000000001</v>
      </c>
      <c r="G93" s="77">
        <f t="shared" si="52"/>
        <v>133.33000000000001</v>
      </c>
      <c r="H93" s="77">
        <f t="shared" si="52"/>
        <v>133.33000000000001</v>
      </c>
      <c r="I93" s="77">
        <f t="shared" si="52"/>
        <v>133.33000000000001</v>
      </c>
      <c r="J93" s="77">
        <f t="shared" si="52"/>
        <v>133.33000000000001</v>
      </c>
      <c r="K93" s="77">
        <f t="shared" si="52"/>
        <v>133.33000000000001</v>
      </c>
      <c r="L93" s="77">
        <f t="shared" si="52"/>
        <v>133.33000000000001</v>
      </c>
      <c r="M93" s="77">
        <f t="shared" si="52"/>
        <v>133.33000000000001</v>
      </c>
      <c r="N93" s="77">
        <f>133.37</f>
        <v>133.37</v>
      </c>
      <c r="O93" s="77">
        <f t="shared" si="31"/>
        <v>1600</v>
      </c>
    </row>
    <row r="94" spans="1:15" x14ac:dyDescent="0.3">
      <c r="A94" s="71" t="str">
        <f t="shared" si="38"/>
        <v>Total 130 Maintenance Interior</v>
      </c>
      <c r="B94" s="75" t="s">
        <v>280</v>
      </c>
      <c r="C94" s="78">
        <f t="shared" ref="C94:N94" si="53">((((((((((C83)+(C84))+(C85))+(C86))+(C87))+(C88))+(C89))+(C90))+(C91))+(C92))+(C93)</f>
        <v>2232.4899999999998</v>
      </c>
      <c r="D94" s="78">
        <f t="shared" si="53"/>
        <v>2232.4899999999998</v>
      </c>
      <c r="E94" s="78">
        <f t="shared" si="53"/>
        <v>2232.4899999999998</v>
      </c>
      <c r="F94" s="78">
        <f t="shared" si="53"/>
        <v>2232.4899999999998</v>
      </c>
      <c r="G94" s="78">
        <f t="shared" si="53"/>
        <v>2232.4899999999998</v>
      </c>
      <c r="H94" s="78">
        <f t="shared" si="53"/>
        <v>2232.4899999999998</v>
      </c>
      <c r="I94" s="78">
        <f t="shared" si="53"/>
        <v>2232.4899999999998</v>
      </c>
      <c r="J94" s="78">
        <f t="shared" si="53"/>
        <v>2232.4899999999998</v>
      </c>
      <c r="K94" s="78">
        <f t="shared" si="53"/>
        <v>2232.4899999999998</v>
      </c>
      <c r="L94" s="78">
        <f t="shared" si="53"/>
        <v>2232.4899999999998</v>
      </c>
      <c r="M94" s="78">
        <f t="shared" si="53"/>
        <v>2232.4899999999998</v>
      </c>
      <c r="N94" s="78">
        <f t="shared" si="53"/>
        <v>2232.6099999999997</v>
      </c>
      <c r="O94" s="78">
        <f t="shared" si="31"/>
        <v>26789.999999999993</v>
      </c>
    </row>
    <row r="95" spans="1:15" x14ac:dyDescent="0.3">
      <c r="A95" s="71" t="str">
        <f t="shared" si="38"/>
        <v>135 Maintenance Exterior</v>
      </c>
      <c r="B95" s="75" t="s">
        <v>281</v>
      </c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7">
        <f t="shared" si="31"/>
        <v>0</v>
      </c>
    </row>
    <row r="96" spans="1:15" x14ac:dyDescent="0.3">
      <c r="A96" s="71">
        <f t="shared" si="38"/>
        <v>6431</v>
      </c>
      <c r="B96" s="75" t="s">
        <v>282</v>
      </c>
      <c r="C96" s="77">
        <f>125</f>
        <v>125</v>
      </c>
      <c r="D96" s="77">
        <f>125</f>
        <v>125</v>
      </c>
      <c r="E96" s="77">
        <f>125</f>
        <v>125</v>
      </c>
      <c r="F96" s="77">
        <f>125</f>
        <v>125</v>
      </c>
      <c r="G96" s="77">
        <f>125</f>
        <v>125</v>
      </c>
      <c r="H96" s="77">
        <f>125</f>
        <v>125</v>
      </c>
      <c r="I96" s="77">
        <f>125</f>
        <v>125</v>
      </c>
      <c r="J96" s="77">
        <f>125</f>
        <v>125</v>
      </c>
      <c r="K96" s="77">
        <f>125</f>
        <v>125</v>
      </c>
      <c r="L96" s="77">
        <f>125</f>
        <v>125</v>
      </c>
      <c r="M96" s="77">
        <f>125</f>
        <v>125</v>
      </c>
      <c r="N96" s="77">
        <f>125</f>
        <v>125</v>
      </c>
      <c r="O96" s="77">
        <f t="shared" si="31"/>
        <v>1500</v>
      </c>
    </row>
    <row r="97" spans="1:15" x14ac:dyDescent="0.3">
      <c r="A97" s="71">
        <f t="shared" si="38"/>
        <v>6432</v>
      </c>
      <c r="B97" s="75" t="s">
        <v>283</v>
      </c>
      <c r="C97" s="77">
        <f>500</f>
        <v>500</v>
      </c>
      <c r="D97" s="77">
        <f>500</f>
        <v>500</v>
      </c>
      <c r="E97" s="77">
        <f>500</f>
        <v>500</v>
      </c>
      <c r="F97" s="77">
        <f>500</f>
        <v>500</v>
      </c>
      <c r="G97" s="77">
        <f>500</f>
        <v>500</v>
      </c>
      <c r="H97" s="77">
        <f>0</f>
        <v>0</v>
      </c>
      <c r="I97" s="77">
        <f>0</f>
        <v>0</v>
      </c>
      <c r="J97" s="77">
        <f>0</f>
        <v>0</v>
      </c>
      <c r="K97" s="77">
        <f>0</f>
        <v>0</v>
      </c>
      <c r="L97" s="77">
        <f>500</f>
        <v>500</v>
      </c>
      <c r="M97" s="77">
        <f>500</f>
        <v>500</v>
      </c>
      <c r="N97" s="77">
        <f>500</f>
        <v>500</v>
      </c>
      <c r="O97" s="77">
        <f t="shared" si="31"/>
        <v>4000</v>
      </c>
    </row>
    <row r="98" spans="1:15" x14ac:dyDescent="0.3">
      <c r="A98" s="71">
        <f t="shared" si="38"/>
        <v>6434</v>
      </c>
      <c r="B98" s="75" t="s">
        <v>284</v>
      </c>
      <c r="C98" s="77">
        <f>187.5</f>
        <v>187.5</v>
      </c>
      <c r="D98" s="77">
        <f>187.5</f>
        <v>187.5</v>
      </c>
      <c r="E98" s="77">
        <f>187.5</f>
        <v>187.5</v>
      </c>
      <c r="F98" s="77">
        <f>187.5</f>
        <v>187.5</v>
      </c>
      <c r="G98" s="77">
        <f>187.5</f>
        <v>187.5</v>
      </c>
      <c r="H98" s="77">
        <f>0</f>
        <v>0</v>
      </c>
      <c r="I98" s="77">
        <f>0</f>
        <v>0</v>
      </c>
      <c r="J98" s="77">
        <f>0</f>
        <v>0</v>
      </c>
      <c r="K98" s="77">
        <f>0</f>
        <v>0</v>
      </c>
      <c r="L98" s="77">
        <f>187.5</f>
        <v>187.5</v>
      </c>
      <c r="M98" s="77">
        <f>187.5</f>
        <v>187.5</v>
      </c>
      <c r="N98" s="77">
        <f>187.5</f>
        <v>187.5</v>
      </c>
      <c r="O98" s="77">
        <f t="shared" si="31"/>
        <v>1500</v>
      </c>
    </row>
    <row r="99" spans="1:15" x14ac:dyDescent="0.3">
      <c r="A99" s="71">
        <f t="shared" si="38"/>
        <v>6435</v>
      </c>
      <c r="B99" s="75" t="s">
        <v>285</v>
      </c>
      <c r="C99" s="77">
        <f>225</f>
        <v>225</v>
      </c>
      <c r="D99" s="77">
        <f>225</f>
        <v>225</v>
      </c>
      <c r="E99" s="77">
        <f>225</f>
        <v>225</v>
      </c>
      <c r="F99" s="77">
        <f>225</f>
        <v>225</v>
      </c>
      <c r="G99" s="77">
        <f>225</f>
        <v>225</v>
      </c>
      <c r="H99" s="77">
        <f>225</f>
        <v>225</v>
      </c>
      <c r="I99" s="77">
        <f>225</f>
        <v>225</v>
      </c>
      <c r="J99" s="77">
        <f>225</f>
        <v>225</v>
      </c>
      <c r="K99" s="77">
        <f>225</f>
        <v>225</v>
      </c>
      <c r="L99" s="77">
        <f>225</f>
        <v>225</v>
      </c>
      <c r="M99" s="77">
        <f>225</f>
        <v>225</v>
      </c>
      <c r="N99" s="77">
        <f>225</f>
        <v>225</v>
      </c>
      <c r="O99" s="77">
        <f t="shared" si="31"/>
        <v>2700</v>
      </c>
    </row>
    <row r="100" spans="1:15" x14ac:dyDescent="0.3">
      <c r="A100" s="71">
        <f t="shared" si="38"/>
        <v>6436</v>
      </c>
      <c r="B100" s="75" t="s">
        <v>286</v>
      </c>
      <c r="C100" s="77">
        <f t="shared" ref="C100:M100" si="54">283.33</f>
        <v>283.33</v>
      </c>
      <c r="D100" s="77">
        <f t="shared" si="54"/>
        <v>283.33</v>
      </c>
      <c r="E100" s="77">
        <f t="shared" si="54"/>
        <v>283.33</v>
      </c>
      <c r="F100" s="77">
        <f t="shared" si="54"/>
        <v>283.33</v>
      </c>
      <c r="G100" s="77">
        <f t="shared" si="54"/>
        <v>283.33</v>
      </c>
      <c r="H100" s="77">
        <f t="shared" si="54"/>
        <v>283.33</v>
      </c>
      <c r="I100" s="77">
        <f t="shared" si="54"/>
        <v>283.33</v>
      </c>
      <c r="J100" s="77">
        <f t="shared" si="54"/>
        <v>283.33</v>
      </c>
      <c r="K100" s="77">
        <f t="shared" si="54"/>
        <v>283.33</v>
      </c>
      <c r="L100" s="77">
        <f t="shared" si="54"/>
        <v>283.33</v>
      </c>
      <c r="M100" s="77">
        <f t="shared" si="54"/>
        <v>283.33</v>
      </c>
      <c r="N100" s="77">
        <f>283.37</f>
        <v>283.37</v>
      </c>
      <c r="O100" s="77">
        <f t="shared" si="31"/>
        <v>3399.9999999999995</v>
      </c>
    </row>
    <row r="101" spans="1:15" x14ac:dyDescent="0.3">
      <c r="A101" s="71" t="str">
        <f t="shared" si="38"/>
        <v>Total 135 Maintenance Exterior</v>
      </c>
      <c r="B101" s="75" t="s">
        <v>287</v>
      </c>
      <c r="C101" s="78">
        <f t="shared" ref="C101:N101" si="55">(((((C95)+(C96))+(C97))+(C98))+(C99))+(C100)</f>
        <v>1320.83</v>
      </c>
      <c r="D101" s="78">
        <f t="shared" si="55"/>
        <v>1320.83</v>
      </c>
      <c r="E101" s="78">
        <f t="shared" si="55"/>
        <v>1320.83</v>
      </c>
      <c r="F101" s="78">
        <f t="shared" si="55"/>
        <v>1320.83</v>
      </c>
      <c r="G101" s="78">
        <f t="shared" si="55"/>
        <v>1320.83</v>
      </c>
      <c r="H101" s="78">
        <f t="shared" si="55"/>
        <v>633.32999999999993</v>
      </c>
      <c r="I101" s="78">
        <f t="shared" si="55"/>
        <v>633.32999999999993</v>
      </c>
      <c r="J101" s="78">
        <f t="shared" si="55"/>
        <v>633.32999999999993</v>
      </c>
      <c r="K101" s="78">
        <f t="shared" si="55"/>
        <v>633.32999999999993</v>
      </c>
      <c r="L101" s="78">
        <f t="shared" si="55"/>
        <v>1320.83</v>
      </c>
      <c r="M101" s="78">
        <f t="shared" si="55"/>
        <v>1320.83</v>
      </c>
      <c r="N101" s="78">
        <f t="shared" si="55"/>
        <v>1320.87</v>
      </c>
      <c r="O101" s="78">
        <f t="shared" si="31"/>
        <v>13100</v>
      </c>
    </row>
    <row r="102" spans="1:15" x14ac:dyDescent="0.3">
      <c r="A102" s="71" t="str">
        <f t="shared" si="38"/>
        <v>140 Utilities &amp; Building Insurance</v>
      </c>
      <c r="B102" s="75" t="s">
        <v>288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7">
        <f t="shared" si="31"/>
        <v>0</v>
      </c>
    </row>
    <row r="103" spans="1:15" x14ac:dyDescent="0.3">
      <c r="A103" s="71">
        <f t="shared" si="38"/>
        <v>6451</v>
      </c>
      <c r="B103" s="75" t="s">
        <v>289</v>
      </c>
      <c r="C103" s="77">
        <f t="shared" ref="C103:M103" si="56">1958.33</f>
        <v>1958.33</v>
      </c>
      <c r="D103" s="77">
        <f t="shared" si="56"/>
        <v>1958.33</v>
      </c>
      <c r="E103" s="77">
        <f t="shared" si="56"/>
        <v>1958.33</v>
      </c>
      <c r="F103" s="77">
        <f t="shared" si="56"/>
        <v>1958.33</v>
      </c>
      <c r="G103" s="77">
        <f t="shared" si="56"/>
        <v>1958.33</v>
      </c>
      <c r="H103" s="77">
        <f t="shared" si="56"/>
        <v>1958.33</v>
      </c>
      <c r="I103" s="77">
        <f t="shared" si="56"/>
        <v>1958.33</v>
      </c>
      <c r="J103" s="77">
        <f t="shared" si="56"/>
        <v>1958.33</v>
      </c>
      <c r="K103" s="77">
        <f t="shared" si="56"/>
        <v>1958.33</v>
      </c>
      <c r="L103" s="77">
        <f t="shared" si="56"/>
        <v>1958.33</v>
      </c>
      <c r="M103" s="77">
        <f t="shared" si="56"/>
        <v>1958.33</v>
      </c>
      <c r="N103" s="77">
        <f>1958.37</f>
        <v>1958.37</v>
      </c>
      <c r="O103" s="77">
        <f t="shared" si="31"/>
        <v>23500.000000000004</v>
      </c>
    </row>
    <row r="104" spans="1:15" x14ac:dyDescent="0.3">
      <c r="A104" s="71">
        <f t="shared" si="38"/>
        <v>6452</v>
      </c>
      <c r="B104" s="75" t="s">
        <v>290</v>
      </c>
      <c r="C104" s="77">
        <f t="shared" ref="C104:M104" si="57">1791.67</f>
        <v>1791.67</v>
      </c>
      <c r="D104" s="77">
        <f t="shared" si="57"/>
        <v>1791.67</v>
      </c>
      <c r="E104" s="77">
        <f t="shared" si="57"/>
        <v>1791.67</v>
      </c>
      <c r="F104" s="77">
        <f t="shared" si="57"/>
        <v>1791.67</v>
      </c>
      <c r="G104" s="77">
        <f t="shared" si="57"/>
        <v>1791.67</v>
      </c>
      <c r="H104" s="77">
        <f t="shared" si="57"/>
        <v>1791.67</v>
      </c>
      <c r="I104" s="77">
        <f t="shared" si="57"/>
        <v>1791.67</v>
      </c>
      <c r="J104" s="77">
        <f t="shared" si="57"/>
        <v>1791.67</v>
      </c>
      <c r="K104" s="77">
        <f t="shared" si="57"/>
        <v>1791.67</v>
      </c>
      <c r="L104" s="77">
        <f t="shared" si="57"/>
        <v>1791.67</v>
      </c>
      <c r="M104" s="77">
        <f t="shared" si="57"/>
        <v>1791.67</v>
      </c>
      <c r="N104" s="77">
        <f>1791.63</f>
        <v>1791.63</v>
      </c>
      <c r="O104" s="77">
        <f t="shared" si="31"/>
        <v>21500.000000000004</v>
      </c>
    </row>
    <row r="105" spans="1:15" x14ac:dyDescent="0.3">
      <c r="A105" s="71">
        <f t="shared" si="38"/>
        <v>6453</v>
      </c>
      <c r="B105" s="75" t="s">
        <v>291</v>
      </c>
      <c r="C105" s="77">
        <f>1875</f>
        <v>1875</v>
      </c>
      <c r="D105" s="77">
        <f>1875</f>
        <v>1875</v>
      </c>
      <c r="E105" s="77">
        <f>1875</f>
        <v>1875</v>
      </c>
      <c r="F105" s="77">
        <f>1875</f>
        <v>1875</v>
      </c>
      <c r="G105" s="77">
        <f>1875</f>
        <v>1875</v>
      </c>
      <c r="H105" s="77">
        <f>1875</f>
        <v>1875</v>
      </c>
      <c r="I105" s="77">
        <f>1875</f>
        <v>1875</v>
      </c>
      <c r="J105" s="77">
        <f>1875</f>
        <v>1875</v>
      </c>
      <c r="K105" s="77">
        <f>1875</f>
        <v>1875</v>
      </c>
      <c r="L105" s="77">
        <f>1875</f>
        <v>1875</v>
      </c>
      <c r="M105" s="77">
        <f>1875</f>
        <v>1875</v>
      </c>
      <c r="N105" s="77">
        <f>1875</f>
        <v>1875</v>
      </c>
      <c r="O105" s="77">
        <f t="shared" si="31"/>
        <v>22500</v>
      </c>
    </row>
    <row r="106" spans="1:15" x14ac:dyDescent="0.3">
      <c r="A106" s="71">
        <f t="shared" si="38"/>
        <v>6454</v>
      </c>
      <c r="B106" s="75" t="s">
        <v>292</v>
      </c>
      <c r="C106" s="77">
        <f>625</f>
        <v>625</v>
      </c>
      <c r="D106" s="77">
        <f>625</f>
        <v>625</v>
      </c>
      <c r="E106" s="77">
        <f>625</f>
        <v>625</v>
      </c>
      <c r="F106" s="77">
        <f>625</f>
        <v>625</v>
      </c>
      <c r="G106" s="77">
        <f>625</f>
        <v>625</v>
      </c>
      <c r="H106" s="77">
        <f>625</f>
        <v>625</v>
      </c>
      <c r="I106" s="77">
        <f>625</f>
        <v>625</v>
      </c>
      <c r="J106" s="77">
        <f>625</f>
        <v>625</v>
      </c>
      <c r="K106" s="77">
        <f>625</f>
        <v>625</v>
      </c>
      <c r="L106" s="77">
        <f>625</f>
        <v>625</v>
      </c>
      <c r="M106" s="77">
        <f>625</f>
        <v>625</v>
      </c>
      <c r="N106" s="77">
        <f>625</f>
        <v>625</v>
      </c>
      <c r="O106" s="77">
        <f t="shared" si="31"/>
        <v>7500</v>
      </c>
    </row>
    <row r="107" spans="1:15" x14ac:dyDescent="0.3">
      <c r="A107" s="71">
        <f t="shared" si="38"/>
        <v>6460</v>
      </c>
      <c r="B107" s="75" t="s">
        <v>293</v>
      </c>
      <c r="C107" s="77">
        <f t="shared" ref="C107:M107" si="58">3131.83</f>
        <v>3131.83</v>
      </c>
      <c r="D107" s="77">
        <f t="shared" si="58"/>
        <v>3131.83</v>
      </c>
      <c r="E107" s="77">
        <f t="shared" si="58"/>
        <v>3131.83</v>
      </c>
      <c r="F107" s="77">
        <f t="shared" si="58"/>
        <v>3131.83</v>
      </c>
      <c r="G107" s="77">
        <f t="shared" si="58"/>
        <v>3131.83</v>
      </c>
      <c r="H107" s="77">
        <f t="shared" si="58"/>
        <v>3131.83</v>
      </c>
      <c r="I107" s="77">
        <f t="shared" si="58"/>
        <v>3131.83</v>
      </c>
      <c r="J107" s="77">
        <f t="shared" si="58"/>
        <v>3131.83</v>
      </c>
      <c r="K107" s="77">
        <f t="shared" si="58"/>
        <v>3131.83</v>
      </c>
      <c r="L107" s="77">
        <f t="shared" si="58"/>
        <v>3131.83</v>
      </c>
      <c r="M107" s="77">
        <f t="shared" si="58"/>
        <v>3131.83</v>
      </c>
      <c r="N107" s="77">
        <f>3131.87</f>
        <v>3131.87</v>
      </c>
      <c r="O107" s="77">
        <f t="shared" si="31"/>
        <v>37582.000000000007</v>
      </c>
    </row>
    <row r="108" spans="1:15" x14ac:dyDescent="0.3">
      <c r="A108" s="71" t="str">
        <f t="shared" si="38"/>
        <v>Total 140 Utilities &amp; Building Insurance</v>
      </c>
      <c r="B108" s="75" t="s">
        <v>295</v>
      </c>
      <c r="C108" s="78">
        <f t="shared" ref="C108:N108" si="59">(((((C102)+(C103))+(C104))+(C105))+(C106))+(C107)</f>
        <v>9381.83</v>
      </c>
      <c r="D108" s="78">
        <f t="shared" si="59"/>
        <v>9381.83</v>
      </c>
      <c r="E108" s="78">
        <f t="shared" si="59"/>
        <v>9381.83</v>
      </c>
      <c r="F108" s="78">
        <f t="shared" si="59"/>
        <v>9381.83</v>
      </c>
      <c r="G108" s="78">
        <f t="shared" si="59"/>
        <v>9381.83</v>
      </c>
      <c r="H108" s="78">
        <f t="shared" si="59"/>
        <v>9381.83</v>
      </c>
      <c r="I108" s="78">
        <f t="shared" si="59"/>
        <v>9381.83</v>
      </c>
      <c r="J108" s="78">
        <f t="shared" si="59"/>
        <v>9381.83</v>
      </c>
      <c r="K108" s="78">
        <f t="shared" si="59"/>
        <v>9381.83</v>
      </c>
      <c r="L108" s="78">
        <f t="shared" si="59"/>
        <v>9381.83</v>
      </c>
      <c r="M108" s="78">
        <f t="shared" si="59"/>
        <v>9381.83</v>
      </c>
      <c r="N108" s="78">
        <f t="shared" si="59"/>
        <v>9381.869999999999</v>
      </c>
      <c r="O108" s="78">
        <f t="shared" si="31"/>
        <v>112582</v>
      </c>
    </row>
    <row r="109" spans="1:15" x14ac:dyDescent="0.3">
      <c r="A109" s="71" t="str">
        <f t="shared" si="38"/>
        <v>150 Salaries &amp; Benefits</v>
      </c>
      <c r="B109" s="75" t="s">
        <v>296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7">
        <f t="shared" si="31"/>
        <v>0</v>
      </c>
    </row>
    <row r="110" spans="1:15" x14ac:dyDescent="0.3">
      <c r="A110" s="71" t="str">
        <f t="shared" si="38"/>
        <v>152 Employee Insurance</v>
      </c>
      <c r="B110" s="75" t="s">
        <v>297</v>
      </c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7">
        <f t="shared" si="31"/>
        <v>0</v>
      </c>
    </row>
    <row r="111" spans="1:15" x14ac:dyDescent="0.3">
      <c r="A111" s="71">
        <f t="shared" si="38"/>
        <v>6623</v>
      </c>
      <c r="B111" s="75" t="s">
        <v>298</v>
      </c>
      <c r="C111" s="77">
        <f t="shared" ref="C111:N111" si="60">5622.5</f>
        <v>5622.5</v>
      </c>
      <c r="D111" s="77">
        <f t="shared" si="60"/>
        <v>5622.5</v>
      </c>
      <c r="E111" s="77">
        <f t="shared" si="60"/>
        <v>5622.5</v>
      </c>
      <c r="F111" s="77">
        <f t="shared" si="60"/>
        <v>5622.5</v>
      </c>
      <c r="G111" s="77">
        <f t="shared" si="60"/>
        <v>5622.5</v>
      </c>
      <c r="H111" s="77">
        <f t="shared" si="60"/>
        <v>5622.5</v>
      </c>
      <c r="I111" s="77">
        <f t="shared" si="60"/>
        <v>5622.5</v>
      </c>
      <c r="J111" s="77">
        <f t="shared" si="60"/>
        <v>5622.5</v>
      </c>
      <c r="K111" s="77">
        <f t="shared" si="60"/>
        <v>5622.5</v>
      </c>
      <c r="L111" s="77">
        <f t="shared" si="60"/>
        <v>5622.5</v>
      </c>
      <c r="M111" s="77">
        <f t="shared" si="60"/>
        <v>5622.5</v>
      </c>
      <c r="N111" s="77">
        <f t="shared" si="60"/>
        <v>5622.5</v>
      </c>
      <c r="O111" s="77">
        <f t="shared" si="31"/>
        <v>67470</v>
      </c>
    </row>
    <row r="112" spans="1:15" x14ac:dyDescent="0.3">
      <c r="A112" s="71">
        <f t="shared" si="38"/>
        <v>6624</v>
      </c>
      <c r="B112" s="75" t="s">
        <v>299</v>
      </c>
      <c r="C112" s="77">
        <f>350</f>
        <v>350</v>
      </c>
      <c r="D112" s="77">
        <f>350</f>
        <v>350</v>
      </c>
      <c r="E112" s="77">
        <f>350</f>
        <v>350</v>
      </c>
      <c r="F112" s="77">
        <f>350</f>
        <v>350</v>
      </c>
      <c r="G112" s="77">
        <f>350</f>
        <v>350</v>
      </c>
      <c r="H112" s="77">
        <f>350</f>
        <v>350</v>
      </c>
      <c r="I112" s="77">
        <f>350</f>
        <v>350</v>
      </c>
      <c r="J112" s="77">
        <f>350</f>
        <v>350</v>
      </c>
      <c r="K112" s="77">
        <f>350</f>
        <v>350</v>
      </c>
      <c r="L112" s="77">
        <f>350</f>
        <v>350</v>
      </c>
      <c r="M112" s="77">
        <f>350</f>
        <v>350</v>
      </c>
      <c r="N112" s="77">
        <f>350</f>
        <v>350</v>
      </c>
      <c r="O112" s="77">
        <f t="shared" si="31"/>
        <v>4200</v>
      </c>
    </row>
    <row r="113" spans="1:15" x14ac:dyDescent="0.3">
      <c r="A113" s="71">
        <f t="shared" si="38"/>
        <v>6625</v>
      </c>
      <c r="B113" s="75" t="s">
        <v>300</v>
      </c>
      <c r="C113" s="77">
        <f t="shared" ref="C113:M113" si="61">139.54</f>
        <v>139.54</v>
      </c>
      <c r="D113" s="77">
        <f t="shared" si="61"/>
        <v>139.54</v>
      </c>
      <c r="E113" s="77">
        <f t="shared" si="61"/>
        <v>139.54</v>
      </c>
      <c r="F113" s="77">
        <f t="shared" si="61"/>
        <v>139.54</v>
      </c>
      <c r="G113" s="77">
        <f t="shared" si="61"/>
        <v>139.54</v>
      </c>
      <c r="H113" s="77">
        <f t="shared" si="61"/>
        <v>139.54</v>
      </c>
      <c r="I113" s="77">
        <f t="shared" si="61"/>
        <v>139.54</v>
      </c>
      <c r="J113" s="77">
        <f t="shared" si="61"/>
        <v>139.54</v>
      </c>
      <c r="K113" s="77">
        <f t="shared" si="61"/>
        <v>139.54</v>
      </c>
      <c r="L113" s="77">
        <f t="shared" si="61"/>
        <v>139.54</v>
      </c>
      <c r="M113" s="77">
        <f t="shared" si="61"/>
        <v>139.54</v>
      </c>
      <c r="N113" s="77">
        <f>139.58</f>
        <v>139.58000000000001</v>
      </c>
      <c r="O113" s="77">
        <f t="shared" si="31"/>
        <v>1674.5199999999998</v>
      </c>
    </row>
    <row r="114" spans="1:15" x14ac:dyDescent="0.3">
      <c r="A114" s="71">
        <f t="shared" si="38"/>
        <v>6626</v>
      </c>
      <c r="B114" s="75" t="s">
        <v>301</v>
      </c>
      <c r="C114" s="77">
        <f t="shared" ref="C114:M114" si="62">126.43</f>
        <v>126.43</v>
      </c>
      <c r="D114" s="77">
        <f t="shared" si="62"/>
        <v>126.43</v>
      </c>
      <c r="E114" s="77">
        <f t="shared" si="62"/>
        <v>126.43</v>
      </c>
      <c r="F114" s="77">
        <f t="shared" si="62"/>
        <v>126.43</v>
      </c>
      <c r="G114" s="77">
        <f t="shared" si="62"/>
        <v>126.43</v>
      </c>
      <c r="H114" s="77">
        <f t="shared" si="62"/>
        <v>126.43</v>
      </c>
      <c r="I114" s="77">
        <f t="shared" si="62"/>
        <v>126.43</v>
      </c>
      <c r="J114" s="77">
        <f t="shared" si="62"/>
        <v>126.43</v>
      </c>
      <c r="K114" s="77">
        <f t="shared" si="62"/>
        <v>126.43</v>
      </c>
      <c r="L114" s="77">
        <f t="shared" si="62"/>
        <v>126.43</v>
      </c>
      <c r="M114" s="77">
        <f t="shared" si="62"/>
        <v>126.43</v>
      </c>
      <c r="N114" s="77">
        <f>126.39</f>
        <v>126.39</v>
      </c>
      <c r="O114" s="77">
        <f t="shared" si="31"/>
        <v>1517.1200000000006</v>
      </c>
    </row>
    <row r="115" spans="1:15" x14ac:dyDescent="0.3">
      <c r="A115" s="71" t="str">
        <f t="shared" si="38"/>
        <v>Total 152 Employee Insurance</v>
      </c>
      <c r="B115" s="75" t="s">
        <v>302</v>
      </c>
      <c r="C115" s="78">
        <f t="shared" ref="C115:N115" si="63">((((C110)+(C111))+(C112))+(C113))+(C114)</f>
        <v>6238.47</v>
      </c>
      <c r="D115" s="78">
        <f t="shared" si="63"/>
        <v>6238.47</v>
      </c>
      <c r="E115" s="78">
        <f t="shared" si="63"/>
        <v>6238.47</v>
      </c>
      <c r="F115" s="78">
        <f t="shared" si="63"/>
        <v>6238.47</v>
      </c>
      <c r="G115" s="78">
        <f t="shared" si="63"/>
        <v>6238.47</v>
      </c>
      <c r="H115" s="78">
        <f t="shared" si="63"/>
        <v>6238.47</v>
      </c>
      <c r="I115" s="78">
        <f t="shared" si="63"/>
        <v>6238.47</v>
      </c>
      <c r="J115" s="78">
        <f t="shared" si="63"/>
        <v>6238.47</v>
      </c>
      <c r="K115" s="78">
        <f t="shared" si="63"/>
        <v>6238.47</v>
      </c>
      <c r="L115" s="78">
        <f t="shared" si="63"/>
        <v>6238.47</v>
      </c>
      <c r="M115" s="78">
        <f t="shared" si="63"/>
        <v>6238.47</v>
      </c>
      <c r="N115" s="78">
        <f t="shared" si="63"/>
        <v>6238.47</v>
      </c>
      <c r="O115" s="78">
        <f t="shared" si="31"/>
        <v>74861.64</v>
      </c>
    </row>
    <row r="116" spans="1:15" x14ac:dyDescent="0.3">
      <c r="A116" s="71" t="str">
        <f t="shared" si="38"/>
        <v>154 Other Compensation &amp; Benefits</v>
      </c>
      <c r="B116" s="75" t="s">
        <v>303</v>
      </c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7">
        <f t="shared" si="31"/>
        <v>0</v>
      </c>
    </row>
    <row r="117" spans="1:15" x14ac:dyDescent="0.3">
      <c r="A117" s="71">
        <f t="shared" si="38"/>
        <v>6630</v>
      </c>
      <c r="B117" s="75" t="s">
        <v>304</v>
      </c>
      <c r="C117" s="77">
        <f t="shared" ref="C117:M117" si="64">83.33</f>
        <v>83.33</v>
      </c>
      <c r="D117" s="77">
        <f t="shared" si="64"/>
        <v>83.33</v>
      </c>
      <c r="E117" s="77">
        <f t="shared" si="64"/>
        <v>83.33</v>
      </c>
      <c r="F117" s="77">
        <f t="shared" si="64"/>
        <v>83.33</v>
      </c>
      <c r="G117" s="77">
        <f t="shared" si="64"/>
        <v>83.33</v>
      </c>
      <c r="H117" s="77">
        <f t="shared" si="64"/>
        <v>83.33</v>
      </c>
      <c r="I117" s="77">
        <f t="shared" si="64"/>
        <v>83.33</v>
      </c>
      <c r="J117" s="77">
        <f t="shared" si="64"/>
        <v>83.33</v>
      </c>
      <c r="K117" s="77">
        <f t="shared" si="64"/>
        <v>83.33</v>
      </c>
      <c r="L117" s="77">
        <f t="shared" si="64"/>
        <v>83.33</v>
      </c>
      <c r="M117" s="77">
        <f t="shared" si="64"/>
        <v>83.33</v>
      </c>
      <c r="N117" s="77">
        <f>83.37</f>
        <v>83.37</v>
      </c>
      <c r="O117" s="77">
        <f t="shared" si="31"/>
        <v>1000.0000000000001</v>
      </c>
    </row>
    <row r="118" spans="1:15" x14ac:dyDescent="0.3">
      <c r="A118" s="71">
        <f t="shared" si="38"/>
        <v>6645</v>
      </c>
      <c r="B118" s="75" t="s">
        <v>305</v>
      </c>
      <c r="C118" s="77">
        <f>125</f>
        <v>125</v>
      </c>
      <c r="D118" s="77">
        <f>125</f>
        <v>125</v>
      </c>
      <c r="E118" s="77">
        <f>125</f>
        <v>125</v>
      </c>
      <c r="F118" s="77">
        <f>125</f>
        <v>125</v>
      </c>
      <c r="G118" s="77">
        <f>125</f>
        <v>125</v>
      </c>
      <c r="H118" s="77">
        <f>125</f>
        <v>125</v>
      </c>
      <c r="I118" s="77">
        <f>125</f>
        <v>125</v>
      </c>
      <c r="J118" s="77">
        <f>125</f>
        <v>125</v>
      </c>
      <c r="K118" s="77">
        <f>125</f>
        <v>125</v>
      </c>
      <c r="L118" s="77">
        <f>125</f>
        <v>125</v>
      </c>
      <c r="M118" s="77">
        <f>125</f>
        <v>125</v>
      </c>
      <c r="N118" s="77">
        <f>125</f>
        <v>125</v>
      </c>
      <c r="O118" s="77">
        <f t="shared" si="31"/>
        <v>1500</v>
      </c>
    </row>
    <row r="119" spans="1:15" x14ac:dyDescent="0.3">
      <c r="A119" s="71">
        <f t="shared" si="38"/>
        <v>6646</v>
      </c>
      <c r="B119" s="75" t="s">
        <v>306</v>
      </c>
      <c r="C119" s="77">
        <f t="shared" ref="C119:M119" si="65">333.33</f>
        <v>333.33</v>
      </c>
      <c r="D119" s="77">
        <f t="shared" si="65"/>
        <v>333.33</v>
      </c>
      <c r="E119" s="77">
        <f t="shared" si="65"/>
        <v>333.33</v>
      </c>
      <c r="F119" s="77">
        <f t="shared" si="65"/>
        <v>333.33</v>
      </c>
      <c r="G119" s="77">
        <f t="shared" si="65"/>
        <v>333.33</v>
      </c>
      <c r="H119" s="77">
        <f t="shared" si="65"/>
        <v>333.33</v>
      </c>
      <c r="I119" s="77">
        <f t="shared" si="65"/>
        <v>333.33</v>
      </c>
      <c r="J119" s="77">
        <f t="shared" si="65"/>
        <v>333.33</v>
      </c>
      <c r="K119" s="77">
        <f t="shared" si="65"/>
        <v>333.33</v>
      </c>
      <c r="L119" s="77">
        <f t="shared" si="65"/>
        <v>333.33</v>
      </c>
      <c r="M119" s="77">
        <f t="shared" si="65"/>
        <v>333.33</v>
      </c>
      <c r="N119" s="77">
        <f>333.37</f>
        <v>333.37</v>
      </c>
      <c r="O119" s="77">
        <f t="shared" si="31"/>
        <v>3999.9999999999995</v>
      </c>
    </row>
    <row r="120" spans="1:15" x14ac:dyDescent="0.3">
      <c r="A120" s="71" t="str">
        <f t="shared" si="38"/>
        <v>Total 154 Other Compensation &amp; Benefits</v>
      </c>
      <c r="B120" s="75" t="s">
        <v>307</v>
      </c>
      <c r="C120" s="78">
        <f t="shared" ref="C120:N120" si="66">(((C116)+(C117))+(C118))+(C119)</f>
        <v>541.66</v>
      </c>
      <c r="D120" s="78">
        <f t="shared" si="66"/>
        <v>541.66</v>
      </c>
      <c r="E120" s="78">
        <f t="shared" si="66"/>
        <v>541.66</v>
      </c>
      <c r="F120" s="78">
        <f t="shared" si="66"/>
        <v>541.66</v>
      </c>
      <c r="G120" s="78">
        <f t="shared" si="66"/>
        <v>541.66</v>
      </c>
      <c r="H120" s="78">
        <f t="shared" si="66"/>
        <v>541.66</v>
      </c>
      <c r="I120" s="78">
        <f t="shared" si="66"/>
        <v>541.66</v>
      </c>
      <c r="J120" s="78">
        <f t="shared" si="66"/>
        <v>541.66</v>
      </c>
      <c r="K120" s="78">
        <f t="shared" si="66"/>
        <v>541.66</v>
      </c>
      <c r="L120" s="78">
        <f t="shared" si="66"/>
        <v>541.66</v>
      </c>
      <c r="M120" s="78">
        <f t="shared" si="66"/>
        <v>541.66</v>
      </c>
      <c r="N120" s="78">
        <f t="shared" si="66"/>
        <v>541.74</v>
      </c>
      <c r="O120" s="78">
        <f t="shared" si="31"/>
        <v>6499.9999999999991</v>
      </c>
    </row>
    <row r="121" spans="1:15" x14ac:dyDescent="0.3">
      <c r="A121" s="71">
        <f t="shared" si="38"/>
        <v>6610</v>
      </c>
      <c r="B121" s="75" t="s">
        <v>308</v>
      </c>
      <c r="C121" s="77">
        <f t="shared" ref="C121:M121" si="67">31883.66</f>
        <v>31883.66</v>
      </c>
      <c r="D121" s="77">
        <f t="shared" si="67"/>
        <v>31883.66</v>
      </c>
      <c r="E121" s="77">
        <f t="shared" si="67"/>
        <v>31883.66</v>
      </c>
      <c r="F121" s="77">
        <f t="shared" si="67"/>
        <v>31883.66</v>
      </c>
      <c r="G121" s="77">
        <f t="shared" si="67"/>
        <v>31883.66</v>
      </c>
      <c r="H121" s="77">
        <f t="shared" si="67"/>
        <v>31883.66</v>
      </c>
      <c r="I121" s="77">
        <f t="shared" si="67"/>
        <v>31883.66</v>
      </c>
      <c r="J121" s="77">
        <f t="shared" si="67"/>
        <v>31883.66</v>
      </c>
      <c r="K121" s="77">
        <f t="shared" si="67"/>
        <v>31883.66</v>
      </c>
      <c r="L121" s="77">
        <f t="shared" si="67"/>
        <v>31883.66</v>
      </c>
      <c r="M121" s="77">
        <f t="shared" si="67"/>
        <v>31883.66</v>
      </c>
      <c r="N121" s="77">
        <f>31883.74</f>
        <v>31883.74</v>
      </c>
      <c r="O121" s="77">
        <f t="shared" si="31"/>
        <v>382603.99999999994</v>
      </c>
    </row>
    <row r="122" spans="1:15" x14ac:dyDescent="0.3">
      <c r="A122" s="71">
        <f t="shared" si="38"/>
        <v>6621</v>
      </c>
      <c r="B122" s="75" t="s">
        <v>309</v>
      </c>
      <c r="C122" s="77">
        <f t="shared" ref="C122:N122" si="68">2439.1</f>
        <v>2439.1</v>
      </c>
      <c r="D122" s="77">
        <f t="shared" si="68"/>
        <v>2439.1</v>
      </c>
      <c r="E122" s="77">
        <f t="shared" si="68"/>
        <v>2439.1</v>
      </c>
      <c r="F122" s="77">
        <f t="shared" si="68"/>
        <v>2439.1</v>
      </c>
      <c r="G122" s="77">
        <f t="shared" si="68"/>
        <v>2439.1</v>
      </c>
      <c r="H122" s="77">
        <f t="shared" si="68"/>
        <v>2439.1</v>
      </c>
      <c r="I122" s="77">
        <f t="shared" si="68"/>
        <v>2439.1</v>
      </c>
      <c r="J122" s="77">
        <f t="shared" si="68"/>
        <v>2439.1</v>
      </c>
      <c r="K122" s="77">
        <f t="shared" si="68"/>
        <v>2439.1</v>
      </c>
      <c r="L122" s="77">
        <f t="shared" si="68"/>
        <v>2439.1</v>
      </c>
      <c r="M122" s="77">
        <f t="shared" si="68"/>
        <v>2439.1</v>
      </c>
      <c r="N122" s="77">
        <f t="shared" si="68"/>
        <v>2439.1</v>
      </c>
      <c r="O122" s="77">
        <f t="shared" si="31"/>
        <v>29269.199999999993</v>
      </c>
    </row>
    <row r="123" spans="1:15" x14ac:dyDescent="0.3">
      <c r="A123" s="71">
        <f t="shared" si="38"/>
        <v>6622</v>
      </c>
      <c r="B123" s="75" t="s">
        <v>310</v>
      </c>
      <c r="C123" s="77">
        <f t="shared" ref="C123:N123" si="69">275.81</f>
        <v>275.81</v>
      </c>
      <c r="D123" s="77">
        <f t="shared" si="69"/>
        <v>275.81</v>
      </c>
      <c r="E123" s="77">
        <f t="shared" si="69"/>
        <v>275.81</v>
      </c>
      <c r="F123" s="77">
        <f t="shared" si="69"/>
        <v>275.81</v>
      </c>
      <c r="G123" s="77">
        <f t="shared" si="69"/>
        <v>275.81</v>
      </c>
      <c r="H123" s="77">
        <f t="shared" si="69"/>
        <v>275.81</v>
      </c>
      <c r="I123" s="77">
        <f t="shared" si="69"/>
        <v>275.81</v>
      </c>
      <c r="J123" s="77">
        <f t="shared" si="69"/>
        <v>275.81</v>
      </c>
      <c r="K123" s="77">
        <f t="shared" si="69"/>
        <v>275.81</v>
      </c>
      <c r="L123" s="77">
        <f t="shared" si="69"/>
        <v>275.81</v>
      </c>
      <c r="M123" s="77">
        <f t="shared" si="69"/>
        <v>275.81</v>
      </c>
      <c r="N123" s="77">
        <f t="shared" si="69"/>
        <v>275.81</v>
      </c>
      <c r="O123" s="77">
        <f t="shared" ref="O123:O186" si="70">(((((((((((C123)+(D123))+(E123))+(F123))+(G123))+(H123))+(I123))+(J123))+(K123))+(L123))+(M123))+(N123)</f>
        <v>3309.72</v>
      </c>
    </row>
    <row r="124" spans="1:15" x14ac:dyDescent="0.3">
      <c r="A124" s="71">
        <f t="shared" si="38"/>
        <v>6628</v>
      </c>
      <c r="B124" s="75" t="s">
        <v>311</v>
      </c>
      <c r="C124" s="77">
        <f t="shared" ref="C124:N124" si="71">2446.6</f>
        <v>2446.6</v>
      </c>
      <c r="D124" s="77">
        <f t="shared" si="71"/>
        <v>2446.6</v>
      </c>
      <c r="E124" s="77">
        <f t="shared" si="71"/>
        <v>2446.6</v>
      </c>
      <c r="F124" s="77">
        <f t="shared" si="71"/>
        <v>2446.6</v>
      </c>
      <c r="G124" s="77">
        <f t="shared" si="71"/>
        <v>2446.6</v>
      </c>
      <c r="H124" s="77">
        <f t="shared" si="71"/>
        <v>2446.6</v>
      </c>
      <c r="I124" s="77">
        <f t="shared" si="71"/>
        <v>2446.6</v>
      </c>
      <c r="J124" s="77">
        <f t="shared" si="71"/>
        <v>2446.6</v>
      </c>
      <c r="K124" s="77">
        <f t="shared" si="71"/>
        <v>2446.6</v>
      </c>
      <c r="L124" s="77">
        <f t="shared" si="71"/>
        <v>2446.6</v>
      </c>
      <c r="M124" s="77">
        <f t="shared" si="71"/>
        <v>2446.6</v>
      </c>
      <c r="N124" s="77">
        <f t="shared" si="71"/>
        <v>2446.6</v>
      </c>
      <c r="O124" s="77">
        <f t="shared" si="70"/>
        <v>29359.199999999993</v>
      </c>
    </row>
    <row r="125" spans="1:15" x14ac:dyDescent="0.3">
      <c r="A125" s="71">
        <f t="shared" si="38"/>
        <v>6629</v>
      </c>
      <c r="B125" s="75" t="s">
        <v>312</v>
      </c>
      <c r="C125" s="77">
        <f t="shared" ref="C125:N125" si="72">220.09</f>
        <v>220.09</v>
      </c>
      <c r="D125" s="77">
        <f t="shared" si="72"/>
        <v>220.09</v>
      </c>
      <c r="E125" s="77">
        <f t="shared" si="72"/>
        <v>220.09</v>
      </c>
      <c r="F125" s="77">
        <f t="shared" si="72"/>
        <v>220.09</v>
      </c>
      <c r="G125" s="77">
        <f t="shared" si="72"/>
        <v>220.09</v>
      </c>
      <c r="H125" s="77">
        <f t="shared" si="72"/>
        <v>220.09</v>
      </c>
      <c r="I125" s="77">
        <f t="shared" si="72"/>
        <v>220.09</v>
      </c>
      <c r="J125" s="77">
        <f t="shared" si="72"/>
        <v>220.09</v>
      </c>
      <c r="K125" s="77">
        <f t="shared" si="72"/>
        <v>220.09</v>
      </c>
      <c r="L125" s="77">
        <f t="shared" si="72"/>
        <v>220.09</v>
      </c>
      <c r="M125" s="77">
        <f t="shared" si="72"/>
        <v>220.09</v>
      </c>
      <c r="N125" s="77">
        <f t="shared" si="72"/>
        <v>220.09</v>
      </c>
      <c r="O125" s="77">
        <f t="shared" si="70"/>
        <v>2641.08</v>
      </c>
    </row>
    <row r="126" spans="1:15" x14ac:dyDescent="0.3">
      <c r="A126" s="71">
        <f t="shared" si="38"/>
        <v>6641</v>
      </c>
      <c r="B126" s="75" t="s">
        <v>313</v>
      </c>
      <c r="C126" s="77">
        <f t="shared" ref="C126:M126" si="73">195.17</f>
        <v>195.17</v>
      </c>
      <c r="D126" s="77">
        <f t="shared" si="73"/>
        <v>195.17</v>
      </c>
      <c r="E126" s="77">
        <f t="shared" si="73"/>
        <v>195.17</v>
      </c>
      <c r="F126" s="77">
        <f t="shared" si="73"/>
        <v>195.17</v>
      </c>
      <c r="G126" s="77">
        <f t="shared" si="73"/>
        <v>195.17</v>
      </c>
      <c r="H126" s="77">
        <f t="shared" si="73"/>
        <v>195.17</v>
      </c>
      <c r="I126" s="77">
        <f t="shared" si="73"/>
        <v>195.17</v>
      </c>
      <c r="J126" s="77">
        <f t="shared" si="73"/>
        <v>195.17</v>
      </c>
      <c r="K126" s="77">
        <f t="shared" si="73"/>
        <v>195.17</v>
      </c>
      <c r="L126" s="77">
        <f t="shared" si="73"/>
        <v>195.17</v>
      </c>
      <c r="M126" s="77">
        <f t="shared" si="73"/>
        <v>195.17</v>
      </c>
      <c r="N126" s="77">
        <f>195.13</f>
        <v>195.13</v>
      </c>
      <c r="O126" s="77">
        <f t="shared" si="70"/>
        <v>2342.0000000000005</v>
      </c>
    </row>
    <row r="127" spans="1:15" x14ac:dyDescent="0.3">
      <c r="A127" s="71">
        <f t="shared" si="38"/>
        <v>9990</v>
      </c>
      <c r="B127" s="75" t="s">
        <v>314</v>
      </c>
      <c r="C127" s="77">
        <f t="shared" ref="C127:M127" si="74">-2083.33</f>
        <v>-2083.33</v>
      </c>
      <c r="D127" s="77">
        <f t="shared" si="74"/>
        <v>-2083.33</v>
      </c>
      <c r="E127" s="77">
        <f t="shared" si="74"/>
        <v>-2083.33</v>
      </c>
      <c r="F127" s="77">
        <f t="shared" si="74"/>
        <v>-2083.33</v>
      </c>
      <c r="G127" s="77">
        <f t="shared" si="74"/>
        <v>-2083.33</v>
      </c>
      <c r="H127" s="77">
        <f t="shared" si="74"/>
        <v>-2083.33</v>
      </c>
      <c r="I127" s="77">
        <f t="shared" si="74"/>
        <v>-2083.33</v>
      </c>
      <c r="J127" s="77">
        <f t="shared" si="74"/>
        <v>-2083.33</v>
      </c>
      <c r="K127" s="77">
        <f t="shared" si="74"/>
        <v>-2083.33</v>
      </c>
      <c r="L127" s="77">
        <f t="shared" si="74"/>
        <v>-2083.33</v>
      </c>
      <c r="M127" s="77">
        <f t="shared" si="74"/>
        <v>-2083.33</v>
      </c>
      <c r="N127" s="77">
        <f>-2083.37</f>
        <v>-2083.37</v>
      </c>
      <c r="O127" s="77">
        <f t="shared" si="70"/>
        <v>-25000.000000000004</v>
      </c>
    </row>
    <row r="128" spans="1:15" x14ac:dyDescent="0.3">
      <c r="A128" s="71" t="str">
        <f t="shared" si="38"/>
        <v>Total 150 Salaries &amp; Benefits</v>
      </c>
      <c r="B128" s="75" t="s">
        <v>315</v>
      </c>
      <c r="C128" s="78">
        <f t="shared" ref="C128:N128" si="75">(((((((((C109)+(C115))+(C120))+(C121))+(C122))+(C123))+(C124))+(C125))+(C126))+(C127)</f>
        <v>42157.229999999989</v>
      </c>
      <c r="D128" s="78">
        <f t="shared" si="75"/>
        <v>42157.229999999989</v>
      </c>
      <c r="E128" s="78">
        <f t="shared" si="75"/>
        <v>42157.229999999989</v>
      </c>
      <c r="F128" s="78">
        <f t="shared" si="75"/>
        <v>42157.229999999989</v>
      </c>
      <c r="G128" s="78">
        <f t="shared" si="75"/>
        <v>42157.229999999989</v>
      </c>
      <c r="H128" s="78">
        <f t="shared" si="75"/>
        <v>42157.229999999989</v>
      </c>
      <c r="I128" s="78">
        <f t="shared" si="75"/>
        <v>42157.229999999989</v>
      </c>
      <c r="J128" s="78">
        <f t="shared" si="75"/>
        <v>42157.229999999989</v>
      </c>
      <c r="K128" s="78">
        <f t="shared" si="75"/>
        <v>42157.229999999989</v>
      </c>
      <c r="L128" s="78">
        <f t="shared" si="75"/>
        <v>42157.229999999989</v>
      </c>
      <c r="M128" s="78">
        <f t="shared" si="75"/>
        <v>42157.229999999989</v>
      </c>
      <c r="N128" s="78">
        <f t="shared" si="75"/>
        <v>42157.30999999999</v>
      </c>
      <c r="O128" s="78">
        <f t="shared" si="70"/>
        <v>505886.83999999985</v>
      </c>
    </row>
    <row r="129" spans="1:15" x14ac:dyDescent="0.3">
      <c r="A129" s="71" t="str">
        <f t="shared" si="38"/>
        <v>160 Administration</v>
      </c>
      <c r="B129" s="75" t="s">
        <v>316</v>
      </c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7">
        <f t="shared" si="70"/>
        <v>0</v>
      </c>
    </row>
    <row r="130" spans="1:15" x14ac:dyDescent="0.3">
      <c r="A130" s="71" t="str">
        <f t="shared" si="38"/>
        <v>162 Office Supplies &amp; Equipment</v>
      </c>
      <c r="B130" s="75" t="s">
        <v>317</v>
      </c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7">
        <f t="shared" si="70"/>
        <v>0</v>
      </c>
    </row>
    <row r="131" spans="1:15" x14ac:dyDescent="0.3">
      <c r="A131" s="71">
        <f t="shared" si="38"/>
        <v>6663</v>
      </c>
      <c r="B131" s="75" t="s">
        <v>318</v>
      </c>
      <c r="C131" s="77">
        <f t="shared" ref="C131:N131" si="76">237.5</f>
        <v>237.5</v>
      </c>
      <c r="D131" s="77">
        <f t="shared" si="76"/>
        <v>237.5</v>
      </c>
      <c r="E131" s="77">
        <f t="shared" si="76"/>
        <v>237.5</v>
      </c>
      <c r="F131" s="77">
        <f t="shared" si="76"/>
        <v>237.5</v>
      </c>
      <c r="G131" s="77">
        <f t="shared" si="76"/>
        <v>237.5</v>
      </c>
      <c r="H131" s="77">
        <f t="shared" si="76"/>
        <v>237.5</v>
      </c>
      <c r="I131" s="77">
        <f t="shared" si="76"/>
        <v>237.5</v>
      </c>
      <c r="J131" s="77">
        <f t="shared" si="76"/>
        <v>237.5</v>
      </c>
      <c r="K131" s="77">
        <f t="shared" si="76"/>
        <v>237.5</v>
      </c>
      <c r="L131" s="77">
        <f t="shared" si="76"/>
        <v>237.5</v>
      </c>
      <c r="M131" s="77">
        <f t="shared" si="76"/>
        <v>237.5</v>
      </c>
      <c r="N131" s="77">
        <f t="shared" si="76"/>
        <v>237.5</v>
      </c>
      <c r="O131" s="77">
        <f t="shared" si="70"/>
        <v>2850</v>
      </c>
    </row>
    <row r="132" spans="1:15" x14ac:dyDescent="0.3">
      <c r="A132" s="71">
        <f t="shared" si="38"/>
        <v>6664</v>
      </c>
      <c r="B132" s="75" t="s">
        <v>319</v>
      </c>
      <c r="C132" s="77">
        <f>250</f>
        <v>250</v>
      </c>
      <c r="D132" s="77">
        <f>250</f>
        <v>250</v>
      </c>
      <c r="E132" s="77">
        <f>250</f>
        <v>250</v>
      </c>
      <c r="F132" s="77">
        <f>250</f>
        <v>250</v>
      </c>
      <c r="G132" s="77">
        <f>250</f>
        <v>250</v>
      </c>
      <c r="H132" s="77">
        <f>250</f>
        <v>250</v>
      </c>
      <c r="I132" s="77">
        <f>250</f>
        <v>250</v>
      </c>
      <c r="J132" s="77">
        <f>250</f>
        <v>250</v>
      </c>
      <c r="K132" s="77">
        <f>250</f>
        <v>250</v>
      </c>
      <c r="L132" s="77">
        <f>250</f>
        <v>250</v>
      </c>
      <c r="M132" s="77">
        <f>250</f>
        <v>250</v>
      </c>
      <c r="N132" s="77">
        <f>250</f>
        <v>250</v>
      </c>
      <c r="O132" s="77">
        <f t="shared" si="70"/>
        <v>3000</v>
      </c>
    </row>
    <row r="133" spans="1:15" x14ac:dyDescent="0.3">
      <c r="A133" s="71" t="str">
        <f t="shared" si="38"/>
        <v>Total 162 Office Supplies &amp; Equipment</v>
      </c>
      <c r="B133" s="75" t="s">
        <v>320</v>
      </c>
      <c r="C133" s="78">
        <f t="shared" ref="C133:N133" si="77">((C130)+(C131))+(C132)</f>
        <v>487.5</v>
      </c>
      <c r="D133" s="78">
        <f t="shared" si="77"/>
        <v>487.5</v>
      </c>
      <c r="E133" s="78">
        <f t="shared" si="77"/>
        <v>487.5</v>
      </c>
      <c r="F133" s="78">
        <f t="shared" si="77"/>
        <v>487.5</v>
      </c>
      <c r="G133" s="78">
        <f t="shared" si="77"/>
        <v>487.5</v>
      </c>
      <c r="H133" s="78">
        <f t="shared" si="77"/>
        <v>487.5</v>
      </c>
      <c r="I133" s="78">
        <f t="shared" si="77"/>
        <v>487.5</v>
      </c>
      <c r="J133" s="78">
        <f t="shared" si="77"/>
        <v>487.5</v>
      </c>
      <c r="K133" s="78">
        <f t="shared" si="77"/>
        <v>487.5</v>
      </c>
      <c r="L133" s="78">
        <f t="shared" si="77"/>
        <v>487.5</v>
      </c>
      <c r="M133" s="78">
        <f t="shared" si="77"/>
        <v>487.5</v>
      </c>
      <c r="N133" s="78">
        <f t="shared" si="77"/>
        <v>487.5</v>
      </c>
      <c r="O133" s="78">
        <f t="shared" si="70"/>
        <v>5850</v>
      </c>
    </row>
    <row r="134" spans="1:15" x14ac:dyDescent="0.3">
      <c r="A134" s="71" t="str">
        <f t="shared" si="38"/>
        <v>164 Printing</v>
      </c>
      <c r="B134" s="75" t="s">
        <v>321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7">
        <f t="shared" si="70"/>
        <v>0</v>
      </c>
    </row>
    <row r="135" spans="1:15" x14ac:dyDescent="0.3">
      <c r="A135" s="71">
        <f t="shared" ref="A135:A194" si="78">IF(ISNUMBER(VALUE(LEFT(TRIM(B135),5))),VALUE(LEFT(TRIM(B135),4)),TRIM(B135))</f>
        <v>6661</v>
      </c>
      <c r="B135" s="75" t="s">
        <v>322</v>
      </c>
      <c r="C135" s="77">
        <f>875</f>
        <v>875</v>
      </c>
      <c r="D135" s="77">
        <f>875</f>
        <v>875</v>
      </c>
      <c r="E135" s="77">
        <f>875</f>
        <v>875</v>
      </c>
      <c r="F135" s="77">
        <f>875</f>
        <v>875</v>
      </c>
      <c r="G135" s="77">
        <f>875</f>
        <v>875</v>
      </c>
      <c r="H135" s="77">
        <f>875</f>
        <v>875</v>
      </c>
      <c r="I135" s="77">
        <f>875</f>
        <v>875</v>
      </c>
      <c r="J135" s="77">
        <f>875</f>
        <v>875</v>
      </c>
      <c r="K135" s="77">
        <f>875</f>
        <v>875</v>
      </c>
      <c r="L135" s="77">
        <f>875</f>
        <v>875</v>
      </c>
      <c r="M135" s="77">
        <f>875</f>
        <v>875</v>
      </c>
      <c r="N135" s="77">
        <f>875</f>
        <v>875</v>
      </c>
      <c r="O135" s="77">
        <f t="shared" si="70"/>
        <v>10500</v>
      </c>
    </row>
    <row r="136" spans="1:15" x14ac:dyDescent="0.3">
      <c r="A136" s="71">
        <f t="shared" si="78"/>
        <v>6669</v>
      </c>
      <c r="B136" s="75" t="s">
        <v>323</v>
      </c>
      <c r="C136" s="77">
        <f t="shared" ref="C136:M136" si="79">191.67</f>
        <v>191.67</v>
      </c>
      <c r="D136" s="77">
        <f t="shared" si="79"/>
        <v>191.67</v>
      </c>
      <c r="E136" s="77">
        <f t="shared" si="79"/>
        <v>191.67</v>
      </c>
      <c r="F136" s="77">
        <f t="shared" si="79"/>
        <v>191.67</v>
      </c>
      <c r="G136" s="77">
        <f t="shared" si="79"/>
        <v>191.67</v>
      </c>
      <c r="H136" s="77">
        <f t="shared" si="79"/>
        <v>191.67</v>
      </c>
      <c r="I136" s="77">
        <f t="shared" si="79"/>
        <v>191.67</v>
      </c>
      <c r="J136" s="77">
        <f t="shared" si="79"/>
        <v>191.67</v>
      </c>
      <c r="K136" s="77">
        <f t="shared" si="79"/>
        <v>191.67</v>
      </c>
      <c r="L136" s="77">
        <f t="shared" si="79"/>
        <v>191.67</v>
      </c>
      <c r="M136" s="77">
        <f t="shared" si="79"/>
        <v>191.67</v>
      </c>
      <c r="N136" s="77">
        <f>191.63</f>
        <v>191.63</v>
      </c>
      <c r="O136" s="77">
        <f t="shared" si="70"/>
        <v>2300.0000000000005</v>
      </c>
    </row>
    <row r="137" spans="1:15" x14ac:dyDescent="0.3">
      <c r="A137" s="71">
        <f t="shared" si="78"/>
        <v>6685</v>
      </c>
      <c r="B137" s="75" t="s">
        <v>385</v>
      </c>
      <c r="C137" s="77">
        <f t="shared" ref="C137:M137" si="80">466.67</f>
        <v>466.67</v>
      </c>
      <c r="D137" s="77">
        <f t="shared" si="80"/>
        <v>466.67</v>
      </c>
      <c r="E137" s="77">
        <f t="shared" si="80"/>
        <v>466.67</v>
      </c>
      <c r="F137" s="77">
        <f t="shared" si="80"/>
        <v>466.67</v>
      </c>
      <c r="G137" s="77">
        <f t="shared" si="80"/>
        <v>466.67</v>
      </c>
      <c r="H137" s="77">
        <f t="shared" si="80"/>
        <v>466.67</v>
      </c>
      <c r="I137" s="77">
        <f t="shared" si="80"/>
        <v>466.67</v>
      </c>
      <c r="J137" s="77">
        <f t="shared" si="80"/>
        <v>466.67</v>
      </c>
      <c r="K137" s="77">
        <f t="shared" si="80"/>
        <v>466.67</v>
      </c>
      <c r="L137" s="77">
        <f t="shared" si="80"/>
        <v>466.67</v>
      </c>
      <c r="M137" s="77">
        <f t="shared" si="80"/>
        <v>466.67</v>
      </c>
      <c r="N137" s="77">
        <f>466.63</f>
        <v>466.63</v>
      </c>
      <c r="O137" s="77">
        <f t="shared" si="70"/>
        <v>5600</v>
      </c>
    </row>
    <row r="138" spans="1:15" x14ac:dyDescent="0.3">
      <c r="A138" s="71" t="str">
        <f t="shared" si="78"/>
        <v>Total 164 Printing</v>
      </c>
      <c r="B138" s="75" t="s">
        <v>325</v>
      </c>
      <c r="C138" s="78">
        <f t="shared" ref="C138:N138" si="81">(((C134)+(C135))+(C136))+(C137)</f>
        <v>1533.3400000000001</v>
      </c>
      <c r="D138" s="78">
        <f t="shared" si="81"/>
        <v>1533.3400000000001</v>
      </c>
      <c r="E138" s="78">
        <f t="shared" si="81"/>
        <v>1533.3400000000001</v>
      </c>
      <c r="F138" s="78">
        <f t="shared" si="81"/>
        <v>1533.3400000000001</v>
      </c>
      <c r="G138" s="78">
        <f t="shared" si="81"/>
        <v>1533.3400000000001</v>
      </c>
      <c r="H138" s="78">
        <f t="shared" si="81"/>
        <v>1533.3400000000001</v>
      </c>
      <c r="I138" s="78">
        <f t="shared" si="81"/>
        <v>1533.3400000000001</v>
      </c>
      <c r="J138" s="78">
        <f t="shared" si="81"/>
        <v>1533.3400000000001</v>
      </c>
      <c r="K138" s="78">
        <f t="shared" si="81"/>
        <v>1533.3400000000001</v>
      </c>
      <c r="L138" s="78">
        <f t="shared" si="81"/>
        <v>1533.3400000000001</v>
      </c>
      <c r="M138" s="78">
        <f t="shared" si="81"/>
        <v>1533.3400000000001</v>
      </c>
      <c r="N138" s="78">
        <f t="shared" si="81"/>
        <v>1533.2600000000002</v>
      </c>
      <c r="O138" s="78">
        <f t="shared" si="70"/>
        <v>18400</v>
      </c>
    </row>
    <row r="139" spans="1:15" x14ac:dyDescent="0.3">
      <c r="A139" s="71">
        <f t="shared" si="78"/>
        <v>6662</v>
      </c>
      <c r="B139" s="75" t="s">
        <v>326</v>
      </c>
      <c r="C139" s="77">
        <f t="shared" ref="C139:M139" si="82">466.67</f>
        <v>466.67</v>
      </c>
      <c r="D139" s="77">
        <f t="shared" si="82"/>
        <v>466.67</v>
      </c>
      <c r="E139" s="77">
        <f t="shared" si="82"/>
        <v>466.67</v>
      </c>
      <c r="F139" s="77">
        <f t="shared" si="82"/>
        <v>466.67</v>
      </c>
      <c r="G139" s="77">
        <f t="shared" si="82"/>
        <v>466.67</v>
      </c>
      <c r="H139" s="77">
        <f t="shared" si="82"/>
        <v>466.67</v>
      </c>
      <c r="I139" s="77">
        <f t="shared" si="82"/>
        <v>466.67</v>
      </c>
      <c r="J139" s="77">
        <f t="shared" si="82"/>
        <v>466.67</v>
      </c>
      <c r="K139" s="77">
        <f t="shared" si="82"/>
        <v>466.67</v>
      </c>
      <c r="L139" s="77">
        <f t="shared" si="82"/>
        <v>466.67</v>
      </c>
      <c r="M139" s="77">
        <f t="shared" si="82"/>
        <v>466.67</v>
      </c>
      <c r="N139" s="77">
        <f>466.63</f>
        <v>466.63</v>
      </c>
      <c r="O139" s="77">
        <f t="shared" si="70"/>
        <v>5600</v>
      </c>
    </row>
    <row r="140" spans="1:15" x14ac:dyDescent="0.3">
      <c r="A140" s="71">
        <f t="shared" si="78"/>
        <v>6665</v>
      </c>
      <c r="B140" s="75" t="s">
        <v>327</v>
      </c>
      <c r="C140" s="77">
        <f>75</f>
        <v>75</v>
      </c>
      <c r="D140" s="77">
        <f>75</f>
        <v>75</v>
      </c>
      <c r="E140" s="77">
        <f>75</f>
        <v>75</v>
      </c>
      <c r="F140" s="77">
        <f>75</f>
        <v>75</v>
      </c>
      <c r="G140" s="77">
        <f>75</f>
        <v>75</v>
      </c>
      <c r="H140" s="77">
        <f>75</f>
        <v>75</v>
      </c>
      <c r="I140" s="77">
        <f>75</f>
        <v>75</v>
      </c>
      <c r="J140" s="77">
        <f>75</f>
        <v>75</v>
      </c>
      <c r="K140" s="77">
        <f>75</f>
        <v>75</v>
      </c>
      <c r="L140" s="77">
        <f>75</f>
        <v>75</v>
      </c>
      <c r="M140" s="77">
        <f>75</f>
        <v>75</v>
      </c>
      <c r="N140" s="77">
        <f>75</f>
        <v>75</v>
      </c>
      <c r="O140" s="77">
        <f t="shared" si="70"/>
        <v>900</v>
      </c>
    </row>
    <row r="141" spans="1:15" x14ac:dyDescent="0.3">
      <c r="A141" s="71">
        <f t="shared" si="78"/>
        <v>6666</v>
      </c>
      <c r="B141" s="75" t="s">
        <v>328</v>
      </c>
      <c r="C141" s="77">
        <f t="shared" ref="C141:M141" si="83">434.67</f>
        <v>434.67</v>
      </c>
      <c r="D141" s="77">
        <f t="shared" si="83"/>
        <v>434.67</v>
      </c>
      <c r="E141" s="77">
        <f t="shared" si="83"/>
        <v>434.67</v>
      </c>
      <c r="F141" s="77">
        <f t="shared" si="83"/>
        <v>434.67</v>
      </c>
      <c r="G141" s="77">
        <f t="shared" si="83"/>
        <v>434.67</v>
      </c>
      <c r="H141" s="77">
        <f t="shared" si="83"/>
        <v>434.67</v>
      </c>
      <c r="I141" s="77">
        <f t="shared" si="83"/>
        <v>434.67</v>
      </c>
      <c r="J141" s="77">
        <f t="shared" si="83"/>
        <v>434.67</v>
      </c>
      <c r="K141" s="77">
        <f t="shared" si="83"/>
        <v>434.67</v>
      </c>
      <c r="L141" s="77">
        <f t="shared" si="83"/>
        <v>434.67</v>
      </c>
      <c r="M141" s="77">
        <f t="shared" si="83"/>
        <v>434.67</v>
      </c>
      <c r="N141" s="77">
        <f>434.63</f>
        <v>434.63</v>
      </c>
      <c r="O141" s="77">
        <f t="shared" si="70"/>
        <v>5216</v>
      </c>
    </row>
    <row r="142" spans="1:15" x14ac:dyDescent="0.3">
      <c r="A142" s="71">
        <f t="shared" si="78"/>
        <v>6668</v>
      </c>
      <c r="B142" s="75" t="s">
        <v>329</v>
      </c>
      <c r="C142" s="77">
        <f t="shared" ref="C142:M142" si="84">91.67</f>
        <v>91.67</v>
      </c>
      <c r="D142" s="77">
        <f t="shared" si="84"/>
        <v>91.67</v>
      </c>
      <c r="E142" s="77">
        <f t="shared" si="84"/>
        <v>91.67</v>
      </c>
      <c r="F142" s="77">
        <f t="shared" si="84"/>
        <v>91.67</v>
      </c>
      <c r="G142" s="77">
        <f t="shared" si="84"/>
        <v>91.67</v>
      </c>
      <c r="H142" s="77">
        <f t="shared" si="84"/>
        <v>91.67</v>
      </c>
      <c r="I142" s="77">
        <f t="shared" si="84"/>
        <v>91.67</v>
      </c>
      <c r="J142" s="77">
        <f t="shared" si="84"/>
        <v>91.67</v>
      </c>
      <c r="K142" s="77">
        <f t="shared" si="84"/>
        <v>91.67</v>
      </c>
      <c r="L142" s="77">
        <f t="shared" si="84"/>
        <v>91.67</v>
      </c>
      <c r="M142" s="77">
        <f t="shared" si="84"/>
        <v>91.67</v>
      </c>
      <c r="N142" s="77">
        <f>91.63</f>
        <v>91.63</v>
      </c>
      <c r="O142" s="77">
        <f t="shared" si="70"/>
        <v>1099.9999999999998</v>
      </c>
    </row>
    <row r="143" spans="1:15" x14ac:dyDescent="0.3">
      <c r="A143" s="71">
        <f t="shared" si="78"/>
        <v>6670</v>
      </c>
      <c r="B143" s="75" t="s">
        <v>330</v>
      </c>
      <c r="C143" s="77">
        <f t="shared" ref="C143:M144" si="85">83.33</f>
        <v>83.33</v>
      </c>
      <c r="D143" s="77">
        <f t="shared" si="85"/>
        <v>83.33</v>
      </c>
      <c r="E143" s="77">
        <f t="shared" si="85"/>
        <v>83.33</v>
      </c>
      <c r="F143" s="77">
        <f t="shared" si="85"/>
        <v>83.33</v>
      </c>
      <c r="G143" s="77">
        <f t="shared" si="85"/>
        <v>83.33</v>
      </c>
      <c r="H143" s="77">
        <f t="shared" si="85"/>
        <v>83.33</v>
      </c>
      <c r="I143" s="77">
        <f t="shared" si="85"/>
        <v>83.33</v>
      </c>
      <c r="J143" s="77">
        <f t="shared" si="85"/>
        <v>83.33</v>
      </c>
      <c r="K143" s="77">
        <f t="shared" si="85"/>
        <v>83.33</v>
      </c>
      <c r="L143" s="77">
        <f t="shared" si="85"/>
        <v>83.33</v>
      </c>
      <c r="M143" s="77">
        <f t="shared" si="85"/>
        <v>83.33</v>
      </c>
      <c r="N143" s="77">
        <f>83.37</f>
        <v>83.37</v>
      </c>
      <c r="O143" s="77">
        <f t="shared" si="70"/>
        <v>1000.0000000000001</v>
      </c>
    </row>
    <row r="144" spans="1:15" x14ac:dyDescent="0.3">
      <c r="A144" s="71">
        <f t="shared" si="78"/>
        <v>6671</v>
      </c>
      <c r="B144" s="75" t="s">
        <v>386</v>
      </c>
      <c r="C144" s="77">
        <f t="shared" si="85"/>
        <v>83.33</v>
      </c>
      <c r="D144" s="77">
        <f t="shared" si="85"/>
        <v>83.33</v>
      </c>
      <c r="E144" s="77">
        <f t="shared" si="85"/>
        <v>83.33</v>
      </c>
      <c r="F144" s="77">
        <f t="shared" si="85"/>
        <v>83.33</v>
      </c>
      <c r="G144" s="77">
        <f t="shared" si="85"/>
        <v>83.33</v>
      </c>
      <c r="H144" s="77">
        <f t="shared" si="85"/>
        <v>83.33</v>
      </c>
      <c r="I144" s="77">
        <f t="shared" si="85"/>
        <v>83.33</v>
      </c>
      <c r="J144" s="77">
        <f t="shared" si="85"/>
        <v>83.33</v>
      </c>
      <c r="K144" s="77">
        <f t="shared" si="85"/>
        <v>83.33</v>
      </c>
      <c r="L144" s="77">
        <f t="shared" si="85"/>
        <v>83.33</v>
      </c>
      <c r="M144" s="77">
        <f t="shared" si="85"/>
        <v>83.33</v>
      </c>
      <c r="N144" s="77">
        <f>83.37</f>
        <v>83.37</v>
      </c>
      <c r="O144" s="77">
        <f t="shared" si="70"/>
        <v>1000.0000000000001</v>
      </c>
    </row>
    <row r="145" spans="1:15" x14ac:dyDescent="0.3">
      <c r="A145" s="71">
        <f t="shared" si="78"/>
        <v>6672</v>
      </c>
      <c r="B145" s="75" t="s">
        <v>331</v>
      </c>
      <c r="C145" s="77">
        <f t="shared" ref="C145:M145" si="86">4258.33</f>
        <v>4258.33</v>
      </c>
      <c r="D145" s="77">
        <f t="shared" si="86"/>
        <v>4258.33</v>
      </c>
      <c r="E145" s="77">
        <f t="shared" si="86"/>
        <v>4258.33</v>
      </c>
      <c r="F145" s="77">
        <f t="shared" si="86"/>
        <v>4258.33</v>
      </c>
      <c r="G145" s="77">
        <f t="shared" si="86"/>
        <v>4258.33</v>
      </c>
      <c r="H145" s="77">
        <f t="shared" si="86"/>
        <v>4258.33</v>
      </c>
      <c r="I145" s="77">
        <f t="shared" si="86"/>
        <v>4258.33</v>
      </c>
      <c r="J145" s="77">
        <f t="shared" si="86"/>
        <v>4258.33</v>
      </c>
      <c r="K145" s="77">
        <f t="shared" si="86"/>
        <v>4258.33</v>
      </c>
      <c r="L145" s="77">
        <f t="shared" si="86"/>
        <v>4258.33</v>
      </c>
      <c r="M145" s="77">
        <f t="shared" si="86"/>
        <v>4258.33</v>
      </c>
      <c r="N145" s="77">
        <f>4258.37</f>
        <v>4258.37</v>
      </c>
      <c r="O145" s="77">
        <f t="shared" si="70"/>
        <v>51100.000000000015</v>
      </c>
    </row>
    <row r="146" spans="1:15" x14ac:dyDescent="0.3">
      <c r="A146" s="71">
        <f t="shared" si="78"/>
        <v>6673</v>
      </c>
      <c r="B146" s="75" t="s">
        <v>332</v>
      </c>
      <c r="C146" s="77">
        <f t="shared" ref="C146:N146" si="87">1672.62</f>
        <v>1672.62</v>
      </c>
      <c r="D146" s="77">
        <f t="shared" si="87"/>
        <v>1672.62</v>
      </c>
      <c r="E146" s="77">
        <f t="shared" si="87"/>
        <v>1672.62</v>
      </c>
      <c r="F146" s="77">
        <f t="shared" si="87"/>
        <v>1672.62</v>
      </c>
      <c r="G146" s="77">
        <f t="shared" si="87"/>
        <v>1672.62</v>
      </c>
      <c r="H146" s="77">
        <f t="shared" si="87"/>
        <v>1672.62</v>
      </c>
      <c r="I146" s="77">
        <f t="shared" si="87"/>
        <v>1672.62</v>
      </c>
      <c r="J146" s="77">
        <f t="shared" si="87"/>
        <v>1672.62</v>
      </c>
      <c r="K146" s="77">
        <f t="shared" si="87"/>
        <v>1672.62</v>
      </c>
      <c r="L146" s="77">
        <f t="shared" si="87"/>
        <v>1672.62</v>
      </c>
      <c r="M146" s="77">
        <f t="shared" si="87"/>
        <v>1672.62</v>
      </c>
      <c r="N146" s="77">
        <f t="shared" si="87"/>
        <v>1672.62</v>
      </c>
      <c r="O146" s="77">
        <f t="shared" si="70"/>
        <v>20071.439999999991</v>
      </c>
    </row>
    <row r="147" spans="1:15" x14ac:dyDescent="0.3">
      <c r="A147" s="71">
        <f t="shared" si="78"/>
        <v>6674</v>
      </c>
      <c r="B147" s="75" t="s">
        <v>333</v>
      </c>
      <c r="C147" s="77">
        <f>205</f>
        <v>205</v>
      </c>
      <c r="D147" s="77">
        <f>205</f>
        <v>205</v>
      </c>
      <c r="E147" s="77">
        <f>205</f>
        <v>205</v>
      </c>
      <c r="F147" s="77">
        <f>205</f>
        <v>205</v>
      </c>
      <c r="G147" s="77">
        <f>205</f>
        <v>205</v>
      </c>
      <c r="H147" s="77">
        <f>205</f>
        <v>205</v>
      </c>
      <c r="I147" s="77">
        <f>205</f>
        <v>205</v>
      </c>
      <c r="J147" s="77">
        <f>205</f>
        <v>205</v>
      </c>
      <c r="K147" s="77">
        <f>205</f>
        <v>205</v>
      </c>
      <c r="L147" s="77">
        <f>205</f>
        <v>205</v>
      </c>
      <c r="M147" s="77">
        <f>205</f>
        <v>205</v>
      </c>
      <c r="N147" s="77">
        <f>205</f>
        <v>205</v>
      </c>
      <c r="O147" s="77">
        <f t="shared" si="70"/>
        <v>2460</v>
      </c>
    </row>
    <row r="148" spans="1:15" x14ac:dyDescent="0.3">
      <c r="A148" s="71">
        <f t="shared" si="78"/>
        <v>6675</v>
      </c>
      <c r="B148" s="75" t="s">
        <v>334</v>
      </c>
      <c r="C148" s="77">
        <f>980</f>
        <v>980</v>
      </c>
      <c r="D148" s="77">
        <f>980</f>
        <v>980</v>
      </c>
      <c r="E148" s="77">
        <f>980</f>
        <v>980</v>
      </c>
      <c r="F148" s="77">
        <f>980</f>
        <v>980</v>
      </c>
      <c r="G148" s="77">
        <f>980</f>
        <v>980</v>
      </c>
      <c r="H148" s="77">
        <f>980</f>
        <v>980</v>
      </c>
      <c r="I148" s="77">
        <f>980</f>
        <v>980</v>
      </c>
      <c r="J148" s="77">
        <f>980</f>
        <v>980</v>
      </c>
      <c r="K148" s="77">
        <f>980</f>
        <v>980</v>
      </c>
      <c r="L148" s="77">
        <f>980</f>
        <v>980</v>
      </c>
      <c r="M148" s="77">
        <f>980</f>
        <v>980</v>
      </c>
      <c r="N148" s="77">
        <f>980</f>
        <v>980</v>
      </c>
      <c r="O148" s="77">
        <f t="shared" si="70"/>
        <v>11760</v>
      </c>
    </row>
    <row r="149" spans="1:15" x14ac:dyDescent="0.3">
      <c r="A149" s="71">
        <f t="shared" si="78"/>
        <v>6680</v>
      </c>
      <c r="B149" s="75" t="s">
        <v>336</v>
      </c>
      <c r="C149" s="77">
        <f t="shared" ref="C149:M149" si="88">41.67</f>
        <v>41.67</v>
      </c>
      <c r="D149" s="77">
        <f t="shared" si="88"/>
        <v>41.67</v>
      </c>
      <c r="E149" s="77">
        <f t="shared" si="88"/>
        <v>41.67</v>
      </c>
      <c r="F149" s="77">
        <f t="shared" si="88"/>
        <v>41.67</v>
      </c>
      <c r="G149" s="77">
        <f t="shared" si="88"/>
        <v>41.67</v>
      </c>
      <c r="H149" s="77">
        <f t="shared" si="88"/>
        <v>41.67</v>
      </c>
      <c r="I149" s="77">
        <f t="shared" si="88"/>
        <v>41.67</v>
      </c>
      <c r="J149" s="77">
        <f t="shared" si="88"/>
        <v>41.67</v>
      </c>
      <c r="K149" s="77">
        <f t="shared" si="88"/>
        <v>41.67</v>
      </c>
      <c r="L149" s="77">
        <f t="shared" si="88"/>
        <v>41.67</v>
      </c>
      <c r="M149" s="77">
        <f t="shared" si="88"/>
        <v>41.67</v>
      </c>
      <c r="N149" s="77">
        <f>41.63</f>
        <v>41.63</v>
      </c>
      <c r="O149" s="77">
        <f t="shared" si="70"/>
        <v>500.00000000000011</v>
      </c>
    </row>
    <row r="150" spans="1:15" x14ac:dyDescent="0.3">
      <c r="A150" s="71">
        <f t="shared" si="78"/>
        <v>6695</v>
      </c>
      <c r="B150" s="75" t="s">
        <v>338</v>
      </c>
      <c r="C150" s="77">
        <f t="shared" ref="C150:M150" si="89">858.33</f>
        <v>858.33</v>
      </c>
      <c r="D150" s="77">
        <f t="shared" si="89"/>
        <v>858.33</v>
      </c>
      <c r="E150" s="77">
        <f t="shared" si="89"/>
        <v>858.33</v>
      </c>
      <c r="F150" s="77">
        <f t="shared" si="89"/>
        <v>858.33</v>
      </c>
      <c r="G150" s="77">
        <f t="shared" si="89"/>
        <v>858.33</v>
      </c>
      <c r="H150" s="77">
        <f t="shared" si="89"/>
        <v>858.33</v>
      </c>
      <c r="I150" s="77">
        <f t="shared" si="89"/>
        <v>858.33</v>
      </c>
      <c r="J150" s="77">
        <f t="shared" si="89"/>
        <v>858.33</v>
      </c>
      <c r="K150" s="77">
        <f t="shared" si="89"/>
        <v>858.33</v>
      </c>
      <c r="L150" s="77">
        <f t="shared" si="89"/>
        <v>858.33</v>
      </c>
      <c r="M150" s="77">
        <f t="shared" si="89"/>
        <v>858.33</v>
      </c>
      <c r="N150" s="77">
        <f>858.37</f>
        <v>858.37</v>
      </c>
      <c r="O150" s="77">
        <f t="shared" si="70"/>
        <v>10300.000000000002</v>
      </c>
    </row>
    <row r="151" spans="1:15" x14ac:dyDescent="0.3">
      <c r="A151" s="71" t="str">
        <f t="shared" si="78"/>
        <v>Total 160 Administration</v>
      </c>
      <c r="B151" s="75" t="s">
        <v>339</v>
      </c>
      <c r="C151" s="78">
        <f t="shared" ref="C151:N151" si="90">((((((((((((((C129)+(C133))+(C138))+(C139))+(C140))+(C141))+(C142))+(C143))+(C144))+(C145))+(C146))+(C147))+(C148))+(C149))+(C150)</f>
        <v>11271.46</v>
      </c>
      <c r="D151" s="78">
        <f t="shared" si="90"/>
        <v>11271.46</v>
      </c>
      <c r="E151" s="78">
        <f t="shared" si="90"/>
        <v>11271.46</v>
      </c>
      <c r="F151" s="78">
        <f t="shared" si="90"/>
        <v>11271.46</v>
      </c>
      <c r="G151" s="78">
        <f t="shared" si="90"/>
        <v>11271.46</v>
      </c>
      <c r="H151" s="78">
        <f t="shared" si="90"/>
        <v>11271.46</v>
      </c>
      <c r="I151" s="78">
        <f t="shared" si="90"/>
        <v>11271.46</v>
      </c>
      <c r="J151" s="78">
        <f t="shared" si="90"/>
        <v>11271.46</v>
      </c>
      <c r="K151" s="78">
        <f t="shared" si="90"/>
        <v>11271.46</v>
      </c>
      <c r="L151" s="78">
        <f t="shared" si="90"/>
        <v>11271.46</v>
      </c>
      <c r="M151" s="78">
        <f t="shared" si="90"/>
        <v>11271.46</v>
      </c>
      <c r="N151" s="78">
        <f t="shared" si="90"/>
        <v>11271.380000000001</v>
      </c>
      <c r="O151" s="78">
        <f t="shared" si="70"/>
        <v>135257.43999999997</v>
      </c>
    </row>
    <row r="152" spans="1:15" x14ac:dyDescent="0.3">
      <c r="A152" s="71" t="str">
        <f t="shared" si="78"/>
        <v>170 Fundraising Expenses</v>
      </c>
      <c r="B152" s="75" t="s">
        <v>340</v>
      </c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7">
        <f t="shared" si="70"/>
        <v>0</v>
      </c>
    </row>
    <row r="153" spans="1:15" x14ac:dyDescent="0.3">
      <c r="A153" s="71">
        <f t="shared" si="78"/>
        <v>6740</v>
      </c>
      <c r="B153" s="75" t="s">
        <v>341</v>
      </c>
      <c r="C153" s="77">
        <f>20052</f>
        <v>20052</v>
      </c>
      <c r="D153" s="77">
        <f>0</f>
        <v>0</v>
      </c>
      <c r="E153" s="77">
        <f>0</f>
        <v>0</v>
      </c>
      <c r="F153" s="77">
        <f>0</f>
        <v>0</v>
      </c>
      <c r="G153" s="77">
        <f>0</f>
        <v>0</v>
      </c>
      <c r="H153" s="77">
        <f>0</f>
        <v>0</v>
      </c>
      <c r="I153" s="77">
        <f>0</f>
        <v>0</v>
      </c>
      <c r="J153" s="77">
        <f>0</f>
        <v>0</v>
      </c>
      <c r="K153" s="77">
        <f>0</f>
        <v>0</v>
      </c>
      <c r="L153" s="77">
        <f>0</f>
        <v>0</v>
      </c>
      <c r="M153" s="77">
        <f>0</f>
        <v>0</v>
      </c>
      <c r="N153" s="77">
        <f>0</f>
        <v>0</v>
      </c>
      <c r="O153" s="77">
        <f t="shared" si="70"/>
        <v>20052</v>
      </c>
    </row>
    <row r="154" spans="1:15" x14ac:dyDescent="0.3">
      <c r="A154" s="71">
        <f t="shared" si="78"/>
        <v>6744</v>
      </c>
      <c r="B154" s="75" t="s">
        <v>342</v>
      </c>
      <c r="C154" s="77">
        <f>0</f>
        <v>0</v>
      </c>
      <c r="D154" s="77">
        <f>0</f>
        <v>0</v>
      </c>
      <c r="E154" s="77">
        <f>0</f>
        <v>0</v>
      </c>
      <c r="F154" s="77">
        <f>0</f>
        <v>0</v>
      </c>
      <c r="G154" s="77">
        <f>3300</f>
        <v>3300</v>
      </c>
      <c r="H154" s="77">
        <f>0</f>
        <v>0</v>
      </c>
      <c r="I154" s="77">
        <f>0</f>
        <v>0</v>
      </c>
      <c r="J154" s="77">
        <f>0</f>
        <v>0</v>
      </c>
      <c r="K154" s="77">
        <f>0</f>
        <v>0</v>
      </c>
      <c r="L154" s="77">
        <f>0</f>
        <v>0</v>
      </c>
      <c r="M154" s="77">
        <f>0</f>
        <v>0</v>
      </c>
      <c r="N154" s="77">
        <f>0</f>
        <v>0</v>
      </c>
      <c r="O154" s="77">
        <f t="shared" si="70"/>
        <v>3300</v>
      </c>
    </row>
    <row r="155" spans="1:15" x14ac:dyDescent="0.3">
      <c r="A155" s="71">
        <f t="shared" si="78"/>
        <v>6745</v>
      </c>
      <c r="B155" s="75" t="s">
        <v>410</v>
      </c>
      <c r="C155" s="77">
        <f>150</f>
        <v>150</v>
      </c>
      <c r="D155" s="77">
        <f>150</f>
        <v>150</v>
      </c>
      <c r="E155" s="77">
        <f>150</f>
        <v>150</v>
      </c>
      <c r="F155" s="77">
        <f>150</f>
        <v>150</v>
      </c>
      <c r="G155" s="77">
        <f>150</f>
        <v>150</v>
      </c>
      <c r="H155" s="77">
        <f>150</f>
        <v>150</v>
      </c>
      <c r="I155" s="77">
        <f>150</f>
        <v>150</v>
      </c>
      <c r="J155" s="77">
        <f>150</f>
        <v>150</v>
      </c>
      <c r="K155" s="77">
        <f>150</f>
        <v>150</v>
      </c>
      <c r="L155" s="77">
        <f>150</f>
        <v>150</v>
      </c>
      <c r="M155" s="77">
        <f>150</f>
        <v>150</v>
      </c>
      <c r="N155" s="77">
        <f>150</f>
        <v>150</v>
      </c>
      <c r="O155" s="77">
        <f t="shared" si="70"/>
        <v>1800</v>
      </c>
    </row>
    <row r="156" spans="1:15" x14ac:dyDescent="0.3">
      <c r="A156" s="71">
        <f t="shared" si="78"/>
        <v>6747</v>
      </c>
      <c r="B156" s="75" t="s">
        <v>343</v>
      </c>
      <c r="C156" s="77">
        <f t="shared" ref="C156:N156" si="91">87.5</f>
        <v>87.5</v>
      </c>
      <c r="D156" s="77">
        <f t="shared" si="91"/>
        <v>87.5</v>
      </c>
      <c r="E156" s="77">
        <f t="shared" si="91"/>
        <v>87.5</v>
      </c>
      <c r="F156" s="77">
        <f t="shared" si="91"/>
        <v>87.5</v>
      </c>
      <c r="G156" s="77">
        <f t="shared" si="91"/>
        <v>87.5</v>
      </c>
      <c r="H156" s="77">
        <f t="shared" si="91"/>
        <v>87.5</v>
      </c>
      <c r="I156" s="77">
        <f t="shared" si="91"/>
        <v>87.5</v>
      </c>
      <c r="J156" s="77">
        <f t="shared" si="91"/>
        <v>87.5</v>
      </c>
      <c r="K156" s="77">
        <f t="shared" si="91"/>
        <v>87.5</v>
      </c>
      <c r="L156" s="77">
        <f t="shared" si="91"/>
        <v>87.5</v>
      </c>
      <c r="M156" s="77">
        <f t="shared" si="91"/>
        <v>87.5</v>
      </c>
      <c r="N156" s="77">
        <f t="shared" si="91"/>
        <v>87.5</v>
      </c>
      <c r="O156" s="77">
        <f t="shared" si="70"/>
        <v>1050</v>
      </c>
    </row>
    <row r="157" spans="1:15" x14ac:dyDescent="0.3">
      <c r="A157" s="71">
        <f t="shared" si="78"/>
        <v>6748</v>
      </c>
      <c r="B157" s="75" t="s">
        <v>344</v>
      </c>
      <c r="C157" s="77">
        <f t="shared" ref="C157:N157" si="92">300.63</f>
        <v>300.63</v>
      </c>
      <c r="D157" s="77">
        <f t="shared" si="92"/>
        <v>300.63</v>
      </c>
      <c r="E157" s="77">
        <f t="shared" si="92"/>
        <v>300.63</v>
      </c>
      <c r="F157" s="77">
        <f t="shared" si="92"/>
        <v>300.63</v>
      </c>
      <c r="G157" s="77">
        <f t="shared" si="92"/>
        <v>300.63</v>
      </c>
      <c r="H157" s="77">
        <f t="shared" si="92"/>
        <v>300.63</v>
      </c>
      <c r="I157" s="77">
        <f t="shared" si="92"/>
        <v>300.63</v>
      </c>
      <c r="J157" s="77">
        <f t="shared" si="92"/>
        <v>300.63</v>
      </c>
      <c r="K157" s="77">
        <f t="shared" si="92"/>
        <v>300.63</v>
      </c>
      <c r="L157" s="77">
        <f t="shared" si="92"/>
        <v>300.63</v>
      </c>
      <c r="M157" s="77">
        <f t="shared" si="92"/>
        <v>300.63</v>
      </c>
      <c r="N157" s="77">
        <f t="shared" si="92"/>
        <v>300.63</v>
      </c>
      <c r="O157" s="77">
        <f t="shared" si="70"/>
        <v>3607.5600000000009</v>
      </c>
    </row>
    <row r="158" spans="1:15" x14ac:dyDescent="0.3">
      <c r="A158" s="71">
        <f t="shared" si="78"/>
        <v>6749</v>
      </c>
      <c r="B158" s="75" t="s">
        <v>345</v>
      </c>
      <c r="C158" s="77">
        <f t="shared" ref="C158:M158" si="93">416.67</f>
        <v>416.67</v>
      </c>
      <c r="D158" s="77">
        <f t="shared" si="93"/>
        <v>416.67</v>
      </c>
      <c r="E158" s="77">
        <f t="shared" si="93"/>
        <v>416.67</v>
      </c>
      <c r="F158" s="77">
        <f t="shared" si="93"/>
        <v>416.67</v>
      </c>
      <c r="G158" s="77">
        <f t="shared" si="93"/>
        <v>416.67</v>
      </c>
      <c r="H158" s="77">
        <f t="shared" si="93"/>
        <v>416.67</v>
      </c>
      <c r="I158" s="77">
        <f t="shared" si="93"/>
        <v>416.67</v>
      </c>
      <c r="J158" s="77">
        <f t="shared" si="93"/>
        <v>416.67</v>
      </c>
      <c r="K158" s="77">
        <f t="shared" si="93"/>
        <v>416.67</v>
      </c>
      <c r="L158" s="77">
        <f t="shared" si="93"/>
        <v>416.67</v>
      </c>
      <c r="M158" s="77">
        <f t="shared" si="93"/>
        <v>416.67</v>
      </c>
      <c r="N158" s="77">
        <f>416.63</f>
        <v>416.63</v>
      </c>
      <c r="O158" s="77">
        <f t="shared" si="70"/>
        <v>5000</v>
      </c>
    </row>
    <row r="159" spans="1:15" x14ac:dyDescent="0.3">
      <c r="A159" s="71">
        <f t="shared" si="78"/>
        <v>6758</v>
      </c>
      <c r="B159" s="75" t="s">
        <v>346</v>
      </c>
      <c r="C159" s="77">
        <f t="shared" ref="C159:M159" si="94">33.33</f>
        <v>33.33</v>
      </c>
      <c r="D159" s="77">
        <f t="shared" si="94"/>
        <v>33.33</v>
      </c>
      <c r="E159" s="77">
        <f t="shared" si="94"/>
        <v>33.33</v>
      </c>
      <c r="F159" s="77">
        <f t="shared" si="94"/>
        <v>33.33</v>
      </c>
      <c r="G159" s="77">
        <f t="shared" si="94"/>
        <v>33.33</v>
      </c>
      <c r="H159" s="77">
        <f t="shared" si="94"/>
        <v>33.33</v>
      </c>
      <c r="I159" s="77">
        <f t="shared" si="94"/>
        <v>33.33</v>
      </c>
      <c r="J159" s="77">
        <f t="shared" si="94"/>
        <v>33.33</v>
      </c>
      <c r="K159" s="77">
        <f t="shared" si="94"/>
        <v>33.33</v>
      </c>
      <c r="L159" s="77">
        <f t="shared" si="94"/>
        <v>33.33</v>
      </c>
      <c r="M159" s="77">
        <f t="shared" si="94"/>
        <v>33.33</v>
      </c>
      <c r="N159" s="77">
        <f>33.37</f>
        <v>33.369999999999997</v>
      </c>
      <c r="O159" s="77">
        <f t="shared" si="70"/>
        <v>399.99999999999989</v>
      </c>
    </row>
    <row r="160" spans="1:15" x14ac:dyDescent="0.3">
      <c r="A160" s="71">
        <f t="shared" si="78"/>
        <v>6865</v>
      </c>
      <c r="B160" s="75" t="s">
        <v>411</v>
      </c>
      <c r="C160" s="77">
        <f t="shared" ref="C160:M160" si="95">66.67</f>
        <v>66.67</v>
      </c>
      <c r="D160" s="77">
        <f t="shared" si="95"/>
        <v>66.67</v>
      </c>
      <c r="E160" s="77">
        <f t="shared" si="95"/>
        <v>66.67</v>
      </c>
      <c r="F160" s="77">
        <f t="shared" si="95"/>
        <v>66.67</v>
      </c>
      <c r="G160" s="77">
        <f t="shared" si="95"/>
        <v>66.67</v>
      </c>
      <c r="H160" s="77">
        <f t="shared" si="95"/>
        <v>66.67</v>
      </c>
      <c r="I160" s="77">
        <f t="shared" si="95"/>
        <v>66.67</v>
      </c>
      <c r="J160" s="77">
        <f t="shared" si="95"/>
        <v>66.67</v>
      </c>
      <c r="K160" s="77">
        <f t="shared" si="95"/>
        <v>66.67</v>
      </c>
      <c r="L160" s="77">
        <f t="shared" si="95"/>
        <v>66.67</v>
      </c>
      <c r="M160" s="77">
        <f t="shared" si="95"/>
        <v>66.67</v>
      </c>
      <c r="N160" s="77">
        <f>66.63</f>
        <v>66.63</v>
      </c>
      <c r="O160" s="77">
        <f t="shared" si="70"/>
        <v>799.99999999999989</v>
      </c>
    </row>
    <row r="161" spans="1:15" x14ac:dyDescent="0.3">
      <c r="A161" s="71">
        <f t="shared" si="78"/>
        <v>6875</v>
      </c>
      <c r="B161" s="75" t="s">
        <v>347</v>
      </c>
      <c r="C161" s="77">
        <f>5166.67</f>
        <v>5166.67</v>
      </c>
      <c r="D161" s="77">
        <f t="shared" ref="D161:M161" si="96">1166.67</f>
        <v>1166.67</v>
      </c>
      <c r="E161" s="77">
        <f t="shared" si="96"/>
        <v>1166.67</v>
      </c>
      <c r="F161" s="77">
        <f t="shared" si="96"/>
        <v>1166.67</v>
      </c>
      <c r="G161" s="77">
        <f t="shared" si="96"/>
        <v>1166.67</v>
      </c>
      <c r="H161" s="77">
        <f t="shared" si="96"/>
        <v>1166.67</v>
      </c>
      <c r="I161" s="77">
        <f t="shared" si="96"/>
        <v>1166.67</v>
      </c>
      <c r="J161" s="77">
        <f t="shared" si="96"/>
        <v>1166.67</v>
      </c>
      <c r="K161" s="77">
        <f t="shared" si="96"/>
        <v>1166.67</v>
      </c>
      <c r="L161" s="77">
        <f t="shared" si="96"/>
        <v>1166.67</v>
      </c>
      <c r="M161" s="77">
        <f t="shared" si="96"/>
        <v>1166.67</v>
      </c>
      <c r="N161" s="77">
        <f>1166.63</f>
        <v>1166.6300000000001</v>
      </c>
      <c r="O161" s="77">
        <f t="shared" si="70"/>
        <v>18000.000000000004</v>
      </c>
    </row>
    <row r="162" spans="1:15" x14ac:dyDescent="0.3">
      <c r="A162" s="71" t="str">
        <f t="shared" si="78"/>
        <v>Total 170 Fundraising Expenses</v>
      </c>
      <c r="B162" s="75" t="s">
        <v>348</v>
      </c>
      <c r="C162" s="78">
        <f t="shared" ref="C162:N162" si="97">(((((((((C152)+(C153))+(C154))+(C155))+(C156))+(C157))+(C158))+(C159))+(C160))+(C161)</f>
        <v>26273.47</v>
      </c>
      <c r="D162" s="78">
        <f t="shared" si="97"/>
        <v>2221.4700000000003</v>
      </c>
      <c r="E162" s="78">
        <f t="shared" si="97"/>
        <v>2221.4700000000003</v>
      </c>
      <c r="F162" s="78">
        <f t="shared" si="97"/>
        <v>2221.4700000000003</v>
      </c>
      <c r="G162" s="78">
        <f t="shared" si="97"/>
        <v>5521.47</v>
      </c>
      <c r="H162" s="78">
        <f t="shared" si="97"/>
        <v>2221.4700000000003</v>
      </c>
      <c r="I162" s="78">
        <f t="shared" si="97"/>
        <v>2221.4700000000003</v>
      </c>
      <c r="J162" s="78">
        <f t="shared" si="97"/>
        <v>2221.4700000000003</v>
      </c>
      <c r="K162" s="78">
        <f t="shared" si="97"/>
        <v>2221.4700000000003</v>
      </c>
      <c r="L162" s="78">
        <f t="shared" si="97"/>
        <v>2221.4700000000003</v>
      </c>
      <c r="M162" s="78">
        <f t="shared" si="97"/>
        <v>2221.4700000000003</v>
      </c>
      <c r="N162" s="78">
        <f t="shared" si="97"/>
        <v>2221.3900000000003</v>
      </c>
      <c r="O162" s="78">
        <f t="shared" si="70"/>
        <v>54009.560000000012</v>
      </c>
    </row>
    <row r="163" spans="1:15" x14ac:dyDescent="0.3">
      <c r="A163" s="71" t="str">
        <f t="shared" si="78"/>
        <v>180 Gift Shop Expense</v>
      </c>
      <c r="B163" s="75" t="s">
        <v>349</v>
      </c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7">
        <f t="shared" si="70"/>
        <v>0</v>
      </c>
    </row>
    <row r="164" spans="1:15" x14ac:dyDescent="0.3">
      <c r="A164" s="71">
        <f t="shared" si="78"/>
        <v>6750</v>
      </c>
      <c r="B164" s="75" t="s">
        <v>350</v>
      </c>
      <c r="C164" s="77">
        <f t="shared" ref="C164:N164" si="98">753.75</f>
        <v>753.75</v>
      </c>
      <c r="D164" s="77">
        <f t="shared" si="98"/>
        <v>753.75</v>
      </c>
      <c r="E164" s="77">
        <f t="shared" si="98"/>
        <v>753.75</v>
      </c>
      <c r="F164" s="77">
        <f t="shared" si="98"/>
        <v>753.75</v>
      </c>
      <c r="G164" s="77">
        <f t="shared" si="98"/>
        <v>753.75</v>
      </c>
      <c r="H164" s="77">
        <f t="shared" si="98"/>
        <v>753.75</v>
      </c>
      <c r="I164" s="77">
        <f t="shared" si="98"/>
        <v>753.75</v>
      </c>
      <c r="J164" s="77">
        <f t="shared" si="98"/>
        <v>753.75</v>
      </c>
      <c r="K164" s="77">
        <f t="shared" si="98"/>
        <v>753.75</v>
      </c>
      <c r="L164" s="77">
        <f t="shared" si="98"/>
        <v>753.75</v>
      </c>
      <c r="M164" s="77">
        <f t="shared" si="98"/>
        <v>753.75</v>
      </c>
      <c r="N164" s="77">
        <f t="shared" si="98"/>
        <v>753.75</v>
      </c>
      <c r="O164" s="77">
        <f t="shared" si="70"/>
        <v>9045</v>
      </c>
    </row>
    <row r="165" spans="1:15" x14ac:dyDescent="0.3">
      <c r="A165" s="71">
        <f t="shared" si="78"/>
        <v>6751</v>
      </c>
      <c r="B165" s="75" t="s">
        <v>387</v>
      </c>
      <c r="C165" s="77">
        <f t="shared" ref="C165:M165" si="99">44.67</f>
        <v>44.67</v>
      </c>
      <c r="D165" s="77">
        <f t="shared" si="99"/>
        <v>44.67</v>
      </c>
      <c r="E165" s="77">
        <f t="shared" si="99"/>
        <v>44.67</v>
      </c>
      <c r="F165" s="77">
        <f t="shared" si="99"/>
        <v>44.67</v>
      </c>
      <c r="G165" s="77">
        <f t="shared" si="99"/>
        <v>44.67</v>
      </c>
      <c r="H165" s="77">
        <f t="shared" si="99"/>
        <v>44.67</v>
      </c>
      <c r="I165" s="77">
        <f t="shared" si="99"/>
        <v>44.67</v>
      </c>
      <c r="J165" s="77">
        <f t="shared" si="99"/>
        <v>44.67</v>
      </c>
      <c r="K165" s="77">
        <f t="shared" si="99"/>
        <v>44.67</v>
      </c>
      <c r="L165" s="77">
        <f t="shared" si="99"/>
        <v>44.67</v>
      </c>
      <c r="M165" s="77">
        <f t="shared" si="99"/>
        <v>44.67</v>
      </c>
      <c r="N165" s="77">
        <f>44.63</f>
        <v>44.63</v>
      </c>
      <c r="O165" s="77">
        <f t="shared" si="70"/>
        <v>536.00000000000011</v>
      </c>
    </row>
    <row r="166" spans="1:15" x14ac:dyDescent="0.3">
      <c r="A166" s="71">
        <f t="shared" si="78"/>
        <v>6756</v>
      </c>
      <c r="B166" s="75" t="s">
        <v>351</v>
      </c>
      <c r="C166" s="77">
        <f t="shared" ref="C166:N166" si="100">418.75</f>
        <v>418.75</v>
      </c>
      <c r="D166" s="77">
        <f t="shared" si="100"/>
        <v>418.75</v>
      </c>
      <c r="E166" s="77">
        <f t="shared" si="100"/>
        <v>418.75</v>
      </c>
      <c r="F166" s="77">
        <f t="shared" si="100"/>
        <v>418.75</v>
      </c>
      <c r="G166" s="77">
        <f t="shared" si="100"/>
        <v>418.75</v>
      </c>
      <c r="H166" s="77">
        <f t="shared" si="100"/>
        <v>418.75</v>
      </c>
      <c r="I166" s="77">
        <f t="shared" si="100"/>
        <v>418.75</v>
      </c>
      <c r="J166" s="77">
        <f t="shared" si="100"/>
        <v>418.75</v>
      </c>
      <c r="K166" s="77">
        <f t="shared" si="100"/>
        <v>418.75</v>
      </c>
      <c r="L166" s="77">
        <f t="shared" si="100"/>
        <v>418.75</v>
      </c>
      <c r="M166" s="77">
        <f t="shared" si="100"/>
        <v>418.75</v>
      </c>
      <c r="N166" s="77">
        <f t="shared" si="100"/>
        <v>418.75</v>
      </c>
      <c r="O166" s="77">
        <f t="shared" si="70"/>
        <v>5025</v>
      </c>
    </row>
    <row r="167" spans="1:15" x14ac:dyDescent="0.3">
      <c r="A167" s="71" t="str">
        <f t="shared" si="78"/>
        <v>Total 180 Gift Shop Expense</v>
      </c>
      <c r="B167" s="75" t="s">
        <v>353</v>
      </c>
      <c r="C167" s="78">
        <f t="shared" ref="C167:N167" si="101">(((C163)+(C164))+(C165))+(C166)</f>
        <v>1217.17</v>
      </c>
      <c r="D167" s="78">
        <f t="shared" si="101"/>
        <v>1217.17</v>
      </c>
      <c r="E167" s="78">
        <f t="shared" si="101"/>
        <v>1217.17</v>
      </c>
      <c r="F167" s="78">
        <f t="shared" si="101"/>
        <v>1217.17</v>
      </c>
      <c r="G167" s="78">
        <f t="shared" si="101"/>
        <v>1217.17</v>
      </c>
      <c r="H167" s="78">
        <f t="shared" si="101"/>
        <v>1217.17</v>
      </c>
      <c r="I167" s="78">
        <f t="shared" si="101"/>
        <v>1217.17</v>
      </c>
      <c r="J167" s="78">
        <f t="shared" si="101"/>
        <v>1217.17</v>
      </c>
      <c r="K167" s="78">
        <f t="shared" si="101"/>
        <v>1217.17</v>
      </c>
      <c r="L167" s="78">
        <f t="shared" si="101"/>
        <v>1217.17</v>
      </c>
      <c r="M167" s="78">
        <f t="shared" si="101"/>
        <v>1217.17</v>
      </c>
      <c r="N167" s="78">
        <f t="shared" si="101"/>
        <v>1217.1300000000001</v>
      </c>
      <c r="O167" s="78">
        <f t="shared" si="70"/>
        <v>14606</v>
      </c>
    </row>
    <row r="168" spans="1:15" x14ac:dyDescent="0.3">
      <c r="A168" s="71" t="str">
        <f t="shared" si="78"/>
        <v>185 Other Expenses</v>
      </c>
      <c r="B168" s="75" t="s">
        <v>354</v>
      </c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7">
        <f t="shared" si="70"/>
        <v>0</v>
      </c>
    </row>
    <row r="169" spans="1:15" x14ac:dyDescent="0.3">
      <c r="A169" s="71">
        <f t="shared" si="78"/>
        <v>6810</v>
      </c>
      <c r="B169" s="75" t="s">
        <v>355</v>
      </c>
      <c r="C169" s="77">
        <f>125</f>
        <v>125</v>
      </c>
      <c r="D169" s="77">
        <f>125</f>
        <v>125</v>
      </c>
      <c r="E169" s="77">
        <f>125</f>
        <v>125</v>
      </c>
      <c r="F169" s="77">
        <f>125</f>
        <v>125</v>
      </c>
      <c r="G169" s="77">
        <f>125</f>
        <v>125</v>
      </c>
      <c r="H169" s="77">
        <f>125</f>
        <v>125</v>
      </c>
      <c r="I169" s="77">
        <f>125</f>
        <v>125</v>
      </c>
      <c r="J169" s="77">
        <f>125</f>
        <v>125</v>
      </c>
      <c r="K169" s="77">
        <f>125</f>
        <v>125</v>
      </c>
      <c r="L169" s="77">
        <f>125</f>
        <v>125</v>
      </c>
      <c r="M169" s="77">
        <f>125</f>
        <v>125</v>
      </c>
      <c r="N169" s="77">
        <f>125</f>
        <v>125</v>
      </c>
      <c r="O169" s="77">
        <f t="shared" si="70"/>
        <v>1500</v>
      </c>
    </row>
    <row r="170" spans="1:15" x14ac:dyDescent="0.3">
      <c r="A170" s="71">
        <f t="shared" si="78"/>
        <v>6815</v>
      </c>
      <c r="B170" s="75" t="s">
        <v>356</v>
      </c>
      <c r="C170" s="77">
        <f t="shared" ref="C170:M171" si="102">41.67</f>
        <v>41.67</v>
      </c>
      <c r="D170" s="77">
        <f t="shared" si="102"/>
        <v>41.67</v>
      </c>
      <c r="E170" s="77">
        <f t="shared" si="102"/>
        <v>41.67</v>
      </c>
      <c r="F170" s="77">
        <f t="shared" si="102"/>
        <v>41.67</v>
      </c>
      <c r="G170" s="77">
        <f t="shared" si="102"/>
        <v>41.67</v>
      </c>
      <c r="H170" s="77">
        <f t="shared" si="102"/>
        <v>41.67</v>
      </c>
      <c r="I170" s="77">
        <f t="shared" si="102"/>
        <v>41.67</v>
      </c>
      <c r="J170" s="77">
        <f t="shared" si="102"/>
        <v>41.67</v>
      </c>
      <c r="K170" s="77">
        <f t="shared" si="102"/>
        <v>41.67</v>
      </c>
      <c r="L170" s="77">
        <f t="shared" si="102"/>
        <v>41.67</v>
      </c>
      <c r="M170" s="77">
        <f t="shared" si="102"/>
        <v>41.67</v>
      </c>
      <c r="N170" s="77">
        <f>41.63</f>
        <v>41.63</v>
      </c>
      <c r="O170" s="77">
        <f t="shared" si="70"/>
        <v>500.00000000000011</v>
      </c>
    </row>
    <row r="171" spans="1:15" x14ac:dyDescent="0.3">
      <c r="A171" s="71">
        <f t="shared" si="78"/>
        <v>6850</v>
      </c>
      <c r="B171" s="75" t="s">
        <v>357</v>
      </c>
      <c r="C171" s="77">
        <f t="shared" si="102"/>
        <v>41.67</v>
      </c>
      <c r="D171" s="77">
        <f t="shared" si="102"/>
        <v>41.67</v>
      </c>
      <c r="E171" s="77">
        <f t="shared" si="102"/>
        <v>41.67</v>
      </c>
      <c r="F171" s="77">
        <f t="shared" si="102"/>
        <v>41.67</v>
      </c>
      <c r="G171" s="77">
        <f t="shared" si="102"/>
        <v>41.67</v>
      </c>
      <c r="H171" s="77">
        <f t="shared" si="102"/>
        <v>41.67</v>
      </c>
      <c r="I171" s="77">
        <f t="shared" si="102"/>
        <v>41.67</v>
      </c>
      <c r="J171" s="77">
        <f t="shared" si="102"/>
        <v>41.67</v>
      </c>
      <c r="K171" s="77">
        <f t="shared" si="102"/>
        <v>41.67</v>
      </c>
      <c r="L171" s="77">
        <f t="shared" si="102"/>
        <v>41.67</v>
      </c>
      <c r="M171" s="77">
        <f t="shared" si="102"/>
        <v>41.67</v>
      </c>
      <c r="N171" s="77">
        <f>41.63</f>
        <v>41.63</v>
      </c>
      <c r="O171" s="77">
        <f t="shared" si="70"/>
        <v>500.00000000000011</v>
      </c>
    </row>
    <row r="172" spans="1:15" x14ac:dyDescent="0.3">
      <c r="A172" s="71">
        <f t="shared" si="78"/>
        <v>6853</v>
      </c>
      <c r="B172" s="75" t="s">
        <v>358</v>
      </c>
      <c r="C172" s="77">
        <f t="shared" ref="C172:M172" si="103">333.33</f>
        <v>333.33</v>
      </c>
      <c r="D172" s="77">
        <f t="shared" si="103"/>
        <v>333.33</v>
      </c>
      <c r="E172" s="77">
        <f t="shared" si="103"/>
        <v>333.33</v>
      </c>
      <c r="F172" s="77">
        <f t="shared" si="103"/>
        <v>333.33</v>
      </c>
      <c r="G172" s="77">
        <f t="shared" si="103"/>
        <v>333.33</v>
      </c>
      <c r="H172" s="77">
        <f t="shared" si="103"/>
        <v>333.33</v>
      </c>
      <c r="I172" s="77">
        <f t="shared" si="103"/>
        <v>333.33</v>
      </c>
      <c r="J172" s="77">
        <f t="shared" si="103"/>
        <v>333.33</v>
      </c>
      <c r="K172" s="77">
        <f t="shared" si="103"/>
        <v>333.33</v>
      </c>
      <c r="L172" s="77">
        <f t="shared" si="103"/>
        <v>333.33</v>
      </c>
      <c r="M172" s="77">
        <f t="shared" si="103"/>
        <v>333.33</v>
      </c>
      <c r="N172" s="77">
        <f>333.37</f>
        <v>333.37</v>
      </c>
      <c r="O172" s="77">
        <f t="shared" si="70"/>
        <v>3999.9999999999995</v>
      </c>
    </row>
    <row r="173" spans="1:15" x14ac:dyDescent="0.3">
      <c r="A173" s="71">
        <f t="shared" si="78"/>
        <v>6855</v>
      </c>
      <c r="B173" s="75" t="s">
        <v>359</v>
      </c>
      <c r="C173" s="77">
        <f>100</f>
        <v>100</v>
      </c>
      <c r="D173" s="77">
        <f>100</f>
        <v>100</v>
      </c>
      <c r="E173" s="77">
        <f>100</f>
        <v>100</v>
      </c>
      <c r="F173" s="77">
        <f>100</f>
        <v>100</v>
      </c>
      <c r="G173" s="77">
        <f>100</f>
        <v>100</v>
      </c>
      <c r="H173" s="77">
        <f>100</f>
        <v>100</v>
      </c>
      <c r="I173" s="77">
        <f>100</f>
        <v>100</v>
      </c>
      <c r="J173" s="77">
        <f>100</f>
        <v>100</v>
      </c>
      <c r="K173" s="77">
        <f>100</f>
        <v>100</v>
      </c>
      <c r="L173" s="77">
        <f>100</f>
        <v>100</v>
      </c>
      <c r="M173" s="77">
        <f>100</f>
        <v>100</v>
      </c>
      <c r="N173" s="77">
        <f>100</f>
        <v>100</v>
      </c>
      <c r="O173" s="77">
        <f t="shared" si="70"/>
        <v>1200</v>
      </c>
    </row>
    <row r="174" spans="1:15" x14ac:dyDescent="0.3">
      <c r="A174" s="71">
        <f t="shared" si="78"/>
        <v>6870</v>
      </c>
      <c r="B174" s="75" t="s">
        <v>360</v>
      </c>
      <c r="C174" s="77">
        <f t="shared" ref="C174:M174" si="104">110.83</f>
        <v>110.83</v>
      </c>
      <c r="D174" s="77">
        <f t="shared" si="104"/>
        <v>110.83</v>
      </c>
      <c r="E174" s="77">
        <f t="shared" si="104"/>
        <v>110.83</v>
      </c>
      <c r="F174" s="77">
        <f t="shared" si="104"/>
        <v>110.83</v>
      </c>
      <c r="G174" s="77">
        <f t="shared" si="104"/>
        <v>110.83</v>
      </c>
      <c r="H174" s="77">
        <f t="shared" si="104"/>
        <v>110.83</v>
      </c>
      <c r="I174" s="77">
        <f t="shared" si="104"/>
        <v>110.83</v>
      </c>
      <c r="J174" s="77">
        <f t="shared" si="104"/>
        <v>110.83</v>
      </c>
      <c r="K174" s="77">
        <f t="shared" si="104"/>
        <v>110.83</v>
      </c>
      <c r="L174" s="77">
        <f t="shared" si="104"/>
        <v>110.83</v>
      </c>
      <c r="M174" s="77">
        <f t="shared" si="104"/>
        <v>110.83</v>
      </c>
      <c r="N174" s="77">
        <f>110.87</f>
        <v>110.87</v>
      </c>
      <c r="O174" s="77">
        <f t="shared" si="70"/>
        <v>1330</v>
      </c>
    </row>
    <row r="175" spans="1:15" x14ac:dyDescent="0.3">
      <c r="A175" s="71" t="str">
        <f t="shared" si="78"/>
        <v>Total 185 Other Expenses</v>
      </c>
      <c r="B175" s="75" t="s">
        <v>361</v>
      </c>
      <c r="C175" s="78">
        <f t="shared" ref="C175:N175" si="105">((((((C168)+(C169))+(C170))+(C171))+(C172))+(C173))+(C174)</f>
        <v>752.50000000000011</v>
      </c>
      <c r="D175" s="78">
        <f t="shared" si="105"/>
        <v>752.50000000000011</v>
      </c>
      <c r="E175" s="78">
        <f t="shared" si="105"/>
        <v>752.50000000000011</v>
      </c>
      <c r="F175" s="78">
        <f t="shared" si="105"/>
        <v>752.50000000000011</v>
      </c>
      <c r="G175" s="78">
        <f t="shared" si="105"/>
        <v>752.50000000000011</v>
      </c>
      <c r="H175" s="78">
        <f t="shared" si="105"/>
        <v>752.50000000000011</v>
      </c>
      <c r="I175" s="78">
        <f t="shared" si="105"/>
        <v>752.50000000000011</v>
      </c>
      <c r="J175" s="78">
        <f t="shared" si="105"/>
        <v>752.50000000000011</v>
      </c>
      <c r="K175" s="78">
        <f t="shared" si="105"/>
        <v>752.50000000000011</v>
      </c>
      <c r="L175" s="78">
        <f t="shared" si="105"/>
        <v>752.50000000000011</v>
      </c>
      <c r="M175" s="78">
        <f t="shared" si="105"/>
        <v>752.50000000000011</v>
      </c>
      <c r="N175" s="78">
        <f t="shared" si="105"/>
        <v>752.5</v>
      </c>
      <c r="O175" s="78">
        <f t="shared" si="70"/>
        <v>9030.0000000000018</v>
      </c>
    </row>
    <row r="176" spans="1:15" x14ac:dyDescent="0.3">
      <c r="A176" s="71" t="str">
        <f t="shared" si="78"/>
        <v>500 Interinstitutional Transactions</v>
      </c>
      <c r="B176" s="75" t="s">
        <v>362</v>
      </c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7">
        <f t="shared" si="70"/>
        <v>0</v>
      </c>
    </row>
    <row r="177" spans="1:15" x14ac:dyDescent="0.3">
      <c r="A177" s="71" t="str">
        <f t="shared" si="78"/>
        <v>510 Interinstitutional Revenue</v>
      </c>
      <c r="B177" s="75" t="s">
        <v>363</v>
      </c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7">
        <f t="shared" si="70"/>
        <v>0</v>
      </c>
    </row>
    <row r="178" spans="1:15" x14ac:dyDescent="0.3">
      <c r="A178" s="71">
        <f t="shared" si="78"/>
        <v>4880</v>
      </c>
      <c r="B178" s="75" t="s">
        <v>364</v>
      </c>
      <c r="C178" s="77">
        <f t="shared" ref="C178:N178" si="106">-99</f>
        <v>-99</v>
      </c>
      <c r="D178" s="77">
        <f t="shared" si="106"/>
        <v>-99</v>
      </c>
      <c r="E178" s="77">
        <f t="shared" si="106"/>
        <v>-99</v>
      </c>
      <c r="F178" s="77">
        <f t="shared" si="106"/>
        <v>-99</v>
      </c>
      <c r="G178" s="77">
        <f t="shared" si="106"/>
        <v>-99</v>
      </c>
      <c r="H178" s="77">
        <f t="shared" si="106"/>
        <v>-99</v>
      </c>
      <c r="I178" s="77">
        <f t="shared" si="106"/>
        <v>-99</v>
      </c>
      <c r="J178" s="77">
        <f t="shared" si="106"/>
        <v>-99</v>
      </c>
      <c r="K178" s="77">
        <f t="shared" si="106"/>
        <v>-99</v>
      </c>
      <c r="L178" s="77">
        <f t="shared" si="106"/>
        <v>-99</v>
      </c>
      <c r="M178" s="77">
        <f t="shared" si="106"/>
        <v>-99</v>
      </c>
      <c r="N178" s="77">
        <f t="shared" si="106"/>
        <v>-99</v>
      </c>
      <c r="O178" s="77">
        <f t="shared" si="70"/>
        <v>-1188</v>
      </c>
    </row>
    <row r="179" spans="1:15" x14ac:dyDescent="0.3">
      <c r="A179" s="71" t="str">
        <f t="shared" si="78"/>
        <v>Total 510 Interinstitutional Revenue</v>
      </c>
      <c r="B179" s="75" t="s">
        <v>365</v>
      </c>
      <c r="C179" s="78">
        <f t="shared" ref="C179:N179" si="107">(C177)+(C178)</f>
        <v>-99</v>
      </c>
      <c r="D179" s="78">
        <f t="shared" si="107"/>
        <v>-99</v>
      </c>
      <c r="E179" s="78">
        <f t="shared" si="107"/>
        <v>-99</v>
      </c>
      <c r="F179" s="78">
        <f t="shared" si="107"/>
        <v>-99</v>
      </c>
      <c r="G179" s="78">
        <f t="shared" si="107"/>
        <v>-99</v>
      </c>
      <c r="H179" s="78">
        <f t="shared" si="107"/>
        <v>-99</v>
      </c>
      <c r="I179" s="78">
        <f t="shared" si="107"/>
        <v>-99</v>
      </c>
      <c r="J179" s="78">
        <f t="shared" si="107"/>
        <v>-99</v>
      </c>
      <c r="K179" s="78">
        <f t="shared" si="107"/>
        <v>-99</v>
      </c>
      <c r="L179" s="78">
        <f t="shared" si="107"/>
        <v>-99</v>
      </c>
      <c r="M179" s="78">
        <f t="shared" si="107"/>
        <v>-99</v>
      </c>
      <c r="N179" s="78">
        <f t="shared" si="107"/>
        <v>-99</v>
      </c>
      <c r="O179" s="78">
        <f t="shared" si="70"/>
        <v>-1188</v>
      </c>
    </row>
    <row r="180" spans="1:15" x14ac:dyDescent="0.3">
      <c r="A180" s="71" t="str">
        <f t="shared" si="78"/>
        <v>520 Interinstitutional Expenses</v>
      </c>
      <c r="B180" s="75" t="s">
        <v>366</v>
      </c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7">
        <f t="shared" si="70"/>
        <v>0</v>
      </c>
    </row>
    <row r="181" spans="1:15" x14ac:dyDescent="0.3">
      <c r="A181" s="71">
        <f t="shared" si="78"/>
        <v>6667</v>
      </c>
      <c r="B181" s="75" t="s">
        <v>367</v>
      </c>
      <c r="C181" s="77">
        <f>3000</f>
        <v>3000</v>
      </c>
      <c r="D181" s="77">
        <f>3000</f>
        <v>3000</v>
      </c>
      <c r="E181" s="77">
        <f>3000</f>
        <v>3000</v>
      </c>
      <c r="F181" s="77">
        <f>3000</f>
        <v>3000</v>
      </c>
      <c r="G181" s="77">
        <f>3000</f>
        <v>3000</v>
      </c>
      <c r="H181" s="77">
        <f>3000</f>
        <v>3000</v>
      </c>
      <c r="I181" s="77">
        <f>3000</f>
        <v>3000</v>
      </c>
      <c r="J181" s="77">
        <f>3000</f>
        <v>3000</v>
      </c>
      <c r="K181" s="77">
        <f>3000</f>
        <v>3000</v>
      </c>
      <c r="L181" s="77">
        <f>3000</f>
        <v>3000</v>
      </c>
      <c r="M181" s="77">
        <f>3000</f>
        <v>3000</v>
      </c>
      <c r="N181" s="77">
        <f>3000</f>
        <v>3000</v>
      </c>
      <c r="O181" s="77">
        <f t="shared" si="70"/>
        <v>36000</v>
      </c>
    </row>
    <row r="182" spans="1:15" x14ac:dyDescent="0.3">
      <c r="A182" s="71">
        <f t="shared" si="78"/>
        <v>6910</v>
      </c>
      <c r="B182" s="75" t="s">
        <v>368</v>
      </c>
      <c r="C182" s="77">
        <f t="shared" ref="C182:N182" si="108">5100.5</f>
        <v>5100.5</v>
      </c>
      <c r="D182" s="77">
        <f t="shared" si="108"/>
        <v>5100.5</v>
      </c>
      <c r="E182" s="77">
        <f t="shared" si="108"/>
        <v>5100.5</v>
      </c>
      <c r="F182" s="77">
        <f t="shared" si="108"/>
        <v>5100.5</v>
      </c>
      <c r="G182" s="77">
        <f t="shared" si="108"/>
        <v>5100.5</v>
      </c>
      <c r="H182" s="77">
        <f t="shared" si="108"/>
        <v>5100.5</v>
      </c>
      <c r="I182" s="77">
        <f t="shared" si="108"/>
        <v>5100.5</v>
      </c>
      <c r="J182" s="77">
        <f t="shared" si="108"/>
        <v>5100.5</v>
      </c>
      <c r="K182" s="77">
        <f t="shared" si="108"/>
        <v>5100.5</v>
      </c>
      <c r="L182" s="77">
        <f t="shared" si="108"/>
        <v>5100.5</v>
      </c>
      <c r="M182" s="77">
        <f t="shared" si="108"/>
        <v>5100.5</v>
      </c>
      <c r="N182" s="77">
        <f t="shared" si="108"/>
        <v>5100.5</v>
      </c>
      <c r="O182" s="77">
        <f t="shared" si="70"/>
        <v>61206</v>
      </c>
    </row>
    <row r="183" spans="1:15" x14ac:dyDescent="0.3">
      <c r="A183" s="71">
        <f t="shared" si="78"/>
        <v>6970</v>
      </c>
      <c r="B183" s="75" t="s">
        <v>412</v>
      </c>
      <c r="C183" s="77">
        <f t="shared" ref="C183:M183" si="109">2083.33</f>
        <v>2083.33</v>
      </c>
      <c r="D183" s="77">
        <f t="shared" si="109"/>
        <v>2083.33</v>
      </c>
      <c r="E183" s="77">
        <f t="shared" si="109"/>
        <v>2083.33</v>
      </c>
      <c r="F183" s="77">
        <f t="shared" si="109"/>
        <v>2083.33</v>
      </c>
      <c r="G183" s="77">
        <f t="shared" si="109"/>
        <v>2083.33</v>
      </c>
      <c r="H183" s="77">
        <f t="shared" si="109"/>
        <v>2083.33</v>
      </c>
      <c r="I183" s="77">
        <f t="shared" si="109"/>
        <v>2083.33</v>
      </c>
      <c r="J183" s="77">
        <f t="shared" si="109"/>
        <v>2083.33</v>
      </c>
      <c r="K183" s="77">
        <f t="shared" si="109"/>
        <v>2083.33</v>
      </c>
      <c r="L183" s="77">
        <f t="shared" si="109"/>
        <v>2083.33</v>
      </c>
      <c r="M183" s="77">
        <f t="shared" si="109"/>
        <v>2083.33</v>
      </c>
      <c r="N183" s="77">
        <f>2083.37</f>
        <v>2083.37</v>
      </c>
      <c r="O183" s="77">
        <f t="shared" si="70"/>
        <v>25000.000000000004</v>
      </c>
    </row>
    <row r="184" spans="1:15" x14ac:dyDescent="0.3">
      <c r="A184" s="71">
        <f t="shared" si="78"/>
        <v>6995</v>
      </c>
      <c r="B184" s="75" t="s">
        <v>369</v>
      </c>
      <c r="C184" s="77">
        <f>3000</f>
        <v>3000</v>
      </c>
      <c r="D184" s="77">
        <f>3000</f>
        <v>3000</v>
      </c>
      <c r="E184" s="77">
        <f>3000</f>
        <v>3000</v>
      </c>
      <c r="F184" s="77">
        <f>3000</f>
        <v>3000</v>
      </c>
      <c r="G184" s="77">
        <f>3000</f>
        <v>3000</v>
      </c>
      <c r="H184" s="77">
        <f>3000</f>
        <v>3000</v>
      </c>
      <c r="I184" s="77">
        <f>3000</f>
        <v>3000</v>
      </c>
      <c r="J184" s="77">
        <f>3000</f>
        <v>3000</v>
      </c>
      <c r="K184" s="77">
        <f>3000</f>
        <v>3000</v>
      </c>
      <c r="L184" s="77">
        <f>3000</f>
        <v>3000</v>
      </c>
      <c r="M184" s="77">
        <f>3000</f>
        <v>3000</v>
      </c>
      <c r="N184" s="77">
        <f>3000</f>
        <v>3000</v>
      </c>
      <c r="O184" s="77">
        <f t="shared" si="70"/>
        <v>36000</v>
      </c>
    </row>
    <row r="185" spans="1:15" x14ac:dyDescent="0.3">
      <c r="A185" s="71">
        <f t="shared" si="78"/>
        <v>6999</v>
      </c>
      <c r="B185" s="75" t="s">
        <v>370</v>
      </c>
      <c r="C185" s="77">
        <f>0</f>
        <v>0</v>
      </c>
      <c r="D185" s="77">
        <f>0</f>
        <v>0</v>
      </c>
      <c r="E185" s="77">
        <f>0</f>
        <v>0</v>
      </c>
      <c r="F185" s="77">
        <f>0</f>
        <v>0</v>
      </c>
      <c r="G185" s="77">
        <f>0</f>
        <v>0</v>
      </c>
      <c r="H185" s="77">
        <f>0</f>
        <v>0</v>
      </c>
      <c r="I185" s="77">
        <f>2200</f>
        <v>2200</v>
      </c>
      <c r="J185" s="77">
        <f>2200</f>
        <v>2200</v>
      </c>
      <c r="K185" s="77">
        <f>2200</f>
        <v>2200</v>
      </c>
      <c r="L185" s="77">
        <f>2200</f>
        <v>2200</v>
      </c>
      <c r="M185" s="77">
        <f>0</f>
        <v>0</v>
      </c>
      <c r="N185" s="77">
        <f>0</f>
        <v>0</v>
      </c>
      <c r="O185" s="77">
        <f t="shared" si="70"/>
        <v>8800</v>
      </c>
    </row>
    <row r="186" spans="1:15" x14ac:dyDescent="0.3">
      <c r="A186" s="71" t="str">
        <f t="shared" si="78"/>
        <v>Total 520 Interinstitutional Expenses</v>
      </c>
      <c r="B186" s="75" t="s">
        <v>371</v>
      </c>
      <c r="C186" s="78">
        <f t="shared" ref="C186:N186" si="110">(((((C180)+(C181))+(C182))+(C183))+(C184))+(C185)</f>
        <v>13183.83</v>
      </c>
      <c r="D186" s="78">
        <f t="shared" si="110"/>
        <v>13183.83</v>
      </c>
      <c r="E186" s="78">
        <f t="shared" si="110"/>
        <v>13183.83</v>
      </c>
      <c r="F186" s="78">
        <f t="shared" si="110"/>
        <v>13183.83</v>
      </c>
      <c r="G186" s="78">
        <f t="shared" si="110"/>
        <v>13183.83</v>
      </c>
      <c r="H186" s="78">
        <f t="shared" si="110"/>
        <v>13183.83</v>
      </c>
      <c r="I186" s="78">
        <f t="shared" si="110"/>
        <v>15383.83</v>
      </c>
      <c r="J186" s="78">
        <f t="shared" si="110"/>
        <v>15383.83</v>
      </c>
      <c r="K186" s="78">
        <f t="shared" si="110"/>
        <v>15383.83</v>
      </c>
      <c r="L186" s="78">
        <f t="shared" si="110"/>
        <v>15383.83</v>
      </c>
      <c r="M186" s="78">
        <f t="shared" si="110"/>
        <v>13183.83</v>
      </c>
      <c r="N186" s="78">
        <f t="shared" si="110"/>
        <v>13183.869999999999</v>
      </c>
      <c r="O186" s="78">
        <f t="shared" si="70"/>
        <v>167005.99999999997</v>
      </c>
    </row>
    <row r="187" spans="1:15" x14ac:dyDescent="0.3">
      <c r="A187" s="71" t="str">
        <f t="shared" si="78"/>
        <v>Total 500 Interinstitutional Transactions</v>
      </c>
      <c r="B187" s="75" t="s">
        <v>372</v>
      </c>
      <c r="C187" s="78">
        <f t="shared" ref="C187:N187" si="111">((C176)+(C179))+(C186)</f>
        <v>13084.83</v>
      </c>
      <c r="D187" s="78">
        <f t="shared" si="111"/>
        <v>13084.83</v>
      </c>
      <c r="E187" s="78">
        <f t="shared" si="111"/>
        <v>13084.83</v>
      </c>
      <c r="F187" s="78">
        <f t="shared" si="111"/>
        <v>13084.83</v>
      </c>
      <c r="G187" s="78">
        <f t="shared" si="111"/>
        <v>13084.83</v>
      </c>
      <c r="H187" s="78">
        <f t="shared" si="111"/>
        <v>13084.83</v>
      </c>
      <c r="I187" s="78">
        <f t="shared" si="111"/>
        <v>15284.83</v>
      </c>
      <c r="J187" s="78">
        <f t="shared" si="111"/>
        <v>15284.83</v>
      </c>
      <c r="K187" s="78">
        <f t="shared" si="111"/>
        <v>15284.83</v>
      </c>
      <c r="L187" s="78">
        <f t="shared" si="111"/>
        <v>15284.83</v>
      </c>
      <c r="M187" s="78">
        <f t="shared" si="111"/>
        <v>13084.83</v>
      </c>
      <c r="N187" s="78">
        <f t="shared" si="111"/>
        <v>13084.869999999999</v>
      </c>
      <c r="O187" s="78">
        <f t="shared" ref="O187:O189" si="112">(((((((((((C187)+(D187))+(E187))+(F187))+(G187))+(H187))+(I187))+(J187))+(K187))+(L187))+(M187))+(N187)</f>
        <v>165817.99999999997</v>
      </c>
    </row>
    <row r="188" spans="1:15" x14ac:dyDescent="0.3">
      <c r="A188" s="71" t="str">
        <f t="shared" si="78"/>
        <v>Total Expenditures</v>
      </c>
      <c r="B188" s="75" t="s">
        <v>196</v>
      </c>
      <c r="C188" s="78">
        <f t="shared" ref="C188:N188" si="113">((((((((((((C66)+(C74))+(C79))+(C82))+(C94))+(C101))+(C108))+(C128))+(C151))+(C162))+(C167))+(C175))+(C187)</f>
        <v>134790.56</v>
      </c>
      <c r="D188" s="78">
        <f t="shared" si="113"/>
        <v>110738.56</v>
      </c>
      <c r="E188" s="78">
        <f t="shared" si="113"/>
        <v>110738.56</v>
      </c>
      <c r="F188" s="78">
        <f t="shared" si="113"/>
        <v>110738.56</v>
      </c>
      <c r="G188" s="78">
        <f t="shared" si="113"/>
        <v>114038.56</v>
      </c>
      <c r="H188" s="78">
        <f t="shared" si="113"/>
        <v>110051.06</v>
      </c>
      <c r="I188" s="78">
        <f t="shared" si="113"/>
        <v>112251.06</v>
      </c>
      <c r="J188" s="78">
        <f t="shared" si="113"/>
        <v>112251.06</v>
      </c>
      <c r="K188" s="78">
        <f t="shared" si="113"/>
        <v>112251.06</v>
      </c>
      <c r="L188" s="78">
        <f t="shared" si="113"/>
        <v>112938.56</v>
      </c>
      <c r="M188" s="78">
        <f t="shared" si="113"/>
        <v>110738.56</v>
      </c>
      <c r="N188" s="78">
        <f t="shared" si="113"/>
        <v>110738.68</v>
      </c>
      <c r="O188" s="78">
        <f t="shared" si="112"/>
        <v>1362264.8400000003</v>
      </c>
    </row>
    <row r="189" spans="1:15" x14ac:dyDescent="0.3">
      <c r="A189" s="71" t="str">
        <f t="shared" si="78"/>
        <v>Net Operating Revenue</v>
      </c>
      <c r="B189" s="75" t="s">
        <v>373</v>
      </c>
      <c r="C189" s="78">
        <f t="shared" ref="C189:N189" si="114">(C57)-(C188)</f>
        <v>-12517.970000000001</v>
      </c>
      <c r="D189" s="78">
        <f t="shared" si="114"/>
        <v>-40465.97</v>
      </c>
      <c r="E189" s="78">
        <f t="shared" si="114"/>
        <v>6200.6999999999971</v>
      </c>
      <c r="F189" s="78">
        <f t="shared" si="114"/>
        <v>11200.699999999997</v>
      </c>
      <c r="G189" s="78">
        <f t="shared" si="114"/>
        <v>15900.699999999997</v>
      </c>
      <c r="H189" s="78">
        <f t="shared" si="114"/>
        <v>55638.200000000012</v>
      </c>
      <c r="I189" s="78">
        <f t="shared" si="114"/>
        <v>7938.1999999999971</v>
      </c>
      <c r="J189" s="78">
        <f t="shared" si="114"/>
        <v>9688.1999999999971</v>
      </c>
      <c r="K189" s="78">
        <f t="shared" si="114"/>
        <v>4688.1999999999971</v>
      </c>
      <c r="L189" s="78">
        <f t="shared" si="114"/>
        <v>4000.6999999999971</v>
      </c>
      <c r="M189" s="78">
        <f t="shared" si="114"/>
        <v>-23799.33</v>
      </c>
      <c r="N189" s="78">
        <f t="shared" si="114"/>
        <v>-40466.169999999984</v>
      </c>
      <c r="O189" s="78">
        <f t="shared" si="112"/>
        <v>-1993.8399999999965</v>
      </c>
    </row>
    <row r="190" spans="1:15" x14ac:dyDescent="0.3">
      <c r="A190" s="71" t="str">
        <f t="shared" si="78"/>
        <v>Other Expenditures</v>
      </c>
      <c r="B190" s="75" t="s">
        <v>374</v>
      </c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</row>
    <row r="191" spans="1:15" x14ac:dyDescent="0.3">
      <c r="A191" s="71">
        <f t="shared" si="78"/>
        <v>6899</v>
      </c>
      <c r="B191" s="75" t="s">
        <v>375</v>
      </c>
      <c r="C191" s="77">
        <f t="shared" ref="C191:M191" si="115">10416.67</f>
        <v>10416.67</v>
      </c>
      <c r="D191" s="77">
        <f t="shared" si="115"/>
        <v>10416.67</v>
      </c>
      <c r="E191" s="77">
        <f t="shared" si="115"/>
        <v>10416.67</v>
      </c>
      <c r="F191" s="77">
        <f t="shared" si="115"/>
        <v>10416.67</v>
      </c>
      <c r="G191" s="77">
        <f t="shared" si="115"/>
        <v>10416.67</v>
      </c>
      <c r="H191" s="77">
        <f t="shared" si="115"/>
        <v>10416.67</v>
      </c>
      <c r="I191" s="77">
        <f t="shared" si="115"/>
        <v>10416.67</v>
      </c>
      <c r="J191" s="77">
        <f t="shared" si="115"/>
        <v>10416.67</v>
      </c>
      <c r="K191" s="77">
        <f t="shared" si="115"/>
        <v>10416.67</v>
      </c>
      <c r="L191" s="77">
        <f t="shared" si="115"/>
        <v>10416.67</v>
      </c>
      <c r="M191" s="77">
        <f t="shared" si="115"/>
        <v>10416.67</v>
      </c>
      <c r="N191" s="77">
        <f>10416.63</f>
        <v>10416.629999999999</v>
      </c>
      <c r="O191" s="77">
        <f>(((((((((((C191)+(D191))+(E191))+(F191))+(G191))+(H191))+(I191))+(J191))+(K191))+(L191))+(M191))+(N191)</f>
        <v>125000</v>
      </c>
    </row>
    <row r="192" spans="1:15" x14ac:dyDescent="0.3">
      <c r="A192" s="71" t="str">
        <f t="shared" si="78"/>
        <v>Total Other Expenditures</v>
      </c>
      <c r="B192" s="75" t="s">
        <v>197</v>
      </c>
      <c r="C192" s="78">
        <f t="shared" ref="C192:N192" si="116">C191</f>
        <v>10416.67</v>
      </c>
      <c r="D192" s="78">
        <f t="shared" si="116"/>
        <v>10416.67</v>
      </c>
      <c r="E192" s="78">
        <f t="shared" si="116"/>
        <v>10416.67</v>
      </c>
      <c r="F192" s="78">
        <f t="shared" si="116"/>
        <v>10416.67</v>
      </c>
      <c r="G192" s="78">
        <f t="shared" si="116"/>
        <v>10416.67</v>
      </c>
      <c r="H192" s="78">
        <f t="shared" si="116"/>
        <v>10416.67</v>
      </c>
      <c r="I192" s="78">
        <f t="shared" si="116"/>
        <v>10416.67</v>
      </c>
      <c r="J192" s="78">
        <f t="shared" si="116"/>
        <v>10416.67</v>
      </c>
      <c r="K192" s="78">
        <f t="shared" si="116"/>
        <v>10416.67</v>
      </c>
      <c r="L192" s="78">
        <f t="shared" si="116"/>
        <v>10416.67</v>
      </c>
      <c r="M192" s="78">
        <f t="shared" si="116"/>
        <v>10416.67</v>
      </c>
      <c r="N192" s="78">
        <f t="shared" si="116"/>
        <v>10416.629999999999</v>
      </c>
      <c r="O192" s="78">
        <f>(((((((((((C192)+(D192))+(E192))+(F192))+(G192))+(H192))+(I192))+(J192))+(K192))+(L192))+(M192))+(N192)</f>
        <v>125000</v>
      </c>
    </row>
    <row r="193" spans="1:15" x14ac:dyDescent="0.3">
      <c r="A193" s="71" t="str">
        <f t="shared" si="78"/>
        <v>Net Other Revenue</v>
      </c>
      <c r="B193" s="75" t="s">
        <v>376</v>
      </c>
      <c r="C193" s="78">
        <f t="shared" ref="C193:N193" si="117">(0)-(C192)</f>
        <v>-10416.67</v>
      </c>
      <c r="D193" s="78">
        <f t="shared" si="117"/>
        <v>-10416.67</v>
      </c>
      <c r="E193" s="78">
        <f t="shared" si="117"/>
        <v>-10416.67</v>
      </c>
      <c r="F193" s="78">
        <f t="shared" si="117"/>
        <v>-10416.67</v>
      </c>
      <c r="G193" s="78">
        <f t="shared" si="117"/>
        <v>-10416.67</v>
      </c>
      <c r="H193" s="78">
        <f t="shared" si="117"/>
        <v>-10416.67</v>
      </c>
      <c r="I193" s="78">
        <f t="shared" si="117"/>
        <v>-10416.67</v>
      </c>
      <c r="J193" s="78">
        <f t="shared" si="117"/>
        <v>-10416.67</v>
      </c>
      <c r="K193" s="78">
        <f t="shared" si="117"/>
        <v>-10416.67</v>
      </c>
      <c r="L193" s="78">
        <f t="shared" si="117"/>
        <v>-10416.67</v>
      </c>
      <c r="M193" s="78">
        <f t="shared" si="117"/>
        <v>-10416.67</v>
      </c>
      <c r="N193" s="78">
        <f t="shared" si="117"/>
        <v>-10416.629999999999</v>
      </c>
      <c r="O193" s="78">
        <f>(((((((((((C193)+(D193))+(E193))+(F193))+(G193))+(H193))+(I193))+(J193))+(K193))+(L193))+(M193))+(N193)</f>
        <v>-125000</v>
      </c>
    </row>
    <row r="194" spans="1:15" x14ac:dyDescent="0.3">
      <c r="A194" s="71" t="str">
        <f t="shared" si="78"/>
        <v>Net Revenue</v>
      </c>
      <c r="B194" s="75" t="s">
        <v>377</v>
      </c>
      <c r="C194" s="78">
        <f t="shared" ref="C194:N194" si="118">(C189)+(C193)</f>
        <v>-22934.639999999999</v>
      </c>
      <c r="D194" s="78">
        <f t="shared" si="118"/>
        <v>-50882.64</v>
      </c>
      <c r="E194" s="78">
        <f t="shared" si="118"/>
        <v>-4215.970000000003</v>
      </c>
      <c r="F194" s="78">
        <f t="shared" si="118"/>
        <v>784.02999999999702</v>
      </c>
      <c r="G194" s="78">
        <f t="shared" si="118"/>
        <v>5484.029999999997</v>
      </c>
      <c r="H194" s="78">
        <f t="shared" si="118"/>
        <v>45221.530000000013</v>
      </c>
      <c r="I194" s="78">
        <f t="shared" si="118"/>
        <v>-2478.470000000003</v>
      </c>
      <c r="J194" s="78">
        <f t="shared" si="118"/>
        <v>-728.47000000000298</v>
      </c>
      <c r="K194" s="78">
        <f t="shared" si="118"/>
        <v>-5728.470000000003</v>
      </c>
      <c r="L194" s="78">
        <f t="shared" si="118"/>
        <v>-6415.970000000003</v>
      </c>
      <c r="M194" s="78">
        <f t="shared" si="118"/>
        <v>-34216</v>
      </c>
      <c r="N194" s="78">
        <f t="shared" si="118"/>
        <v>-50882.799999999981</v>
      </c>
      <c r="O194" s="78">
        <f>(((((((((((C194)+(D194))+(E194))+(F194))+(G194))+(H194))+(I194))+(J194))+(K194))+(L194))+(M194))+(N194)</f>
        <v>-126993.83999999997</v>
      </c>
    </row>
    <row r="195" spans="1:15" x14ac:dyDescent="0.3">
      <c r="B195" s="75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</row>
    <row r="198" spans="1:15" x14ac:dyDescent="0.3">
      <c r="B198" s="139" t="s">
        <v>413</v>
      </c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</row>
  </sheetData>
  <mergeCells count="4">
    <mergeCell ref="B1:O1"/>
    <mergeCell ref="B2:O2"/>
    <mergeCell ref="B3:O3"/>
    <mergeCell ref="B198:O1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 Budget 2022-2023</vt:lpstr>
      <vt:lpstr>SA FY22 to date</vt:lpstr>
      <vt:lpstr>FY22 Budget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Arnould</dc:creator>
  <cp:lastModifiedBy>conradc</cp:lastModifiedBy>
  <cp:lastPrinted>2022-03-18T20:05:23Z</cp:lastPrinted>
  <dcterms:created xsi:type="dcterms:W3CDTF">2018-03-28T15:22:52Z</dcterms:created>
  <dcterms:modified xsi:type="dcterms:W3CDTF">2022-06-17T14:46:39Z</dcterms:modified>
</cp:coreProperties>
</file>